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5" windowHeight="1170" tabRatio="903" activeTab="0"/>
  </bookViews>
  <sheets>
    <sheet name="dette " sheetId="1" r:id="rId1"/>
  </sheets>
  <externalReferences>
    <externalReference r:id="rId4"/>
  </externalReferences>
  <definedNames>
    <definedName name="_xlnm.Print_Titles" localSheetId="0">'dette '!$1:$5</definedName>
  </definedNames>
  <calcPr fullCalcOnLoad="1" fullPrecision="0"/>
</workbook>
</file>

<file path=xl/comments1.xml><?xml version="1.0" encoding="utf-8"?>
<comments xmlns="http://schemas.openxmlformats.org/spreadsheetml/2006/main">
  <authors>
    <author>ACCT</author>
    <author>Administrateur</author>
  </authors>
  <commentList>
    <comment ref="N35" authorId="0">
      <text>
        <r>
          <rPr>
            <sz val="8"/>
            <rFont val="Tahoma"/>
            <family val="2"/>
          </rPr>
          <t xml:space="preserve">
1205+1155</t>
        </r>
      </text>
    </comment>
    <comment ref="J115" authorId="1">
      <text>
        <r>
          <rPr>
            <b/>
            <sz val="8"/>
            <rFont val="Tahoma"/>
            <family val="2"/>
          </rPr>
          <t>Administrateur:</t>
        </r>
        <r>
          <rPr>
            <sz val="8"/>
            <rFont val="Tahoma"/>
            <family val="2"/>
          </rPr>
          <t xml:space="preserve">
Valeur en devise : vrai
Valeur en ariary : ancien encours (impossibilité de modifier la balance)</t>
        </r>
      </text>
    </comment>
    <comment ref="N198" authorId="1">
      <text>
        <r>
          <rPr>
            <b/>
            <sz val="8"/>
            <rFont val="Tahoma"/>
            <family val="2"/>
          </rPr>
          <t>Administrateur:</t>
        </r>
        <r>
          <rPr>
            <sz val="8"/>
            <rFont val="Tahoma"/>
            <family val="2"/>
          </rPr>
          <t xml:space="preserve">
A revoir avec la DDP</t>
        </r>
      </text>
    </comment>
    <comment ref="N205" authorId="1">
      <text>
        <r>
          <rPr>
            <b/>
            <sz val="8"/>
            <rFont val="Tahoma"/>
            <family val="2"/>
          </rPr>
          <t>Administrateur:</t>
        </r>
        <r>
          <rPr>
            <sz val="8"/>
            <rFont val="Tahoma"/>
            <family val="2"/>
          </rPr>
          <t xml:space="preserve">
a revoir favec la DDP</t>
        </r>
      </text>
    </comment>
    <comment ref="O263" authorId="0">
      <text>
        <r>
          <rPr>
            <b/>
            <sz val="8"/>
            <rFont val="Tahoma"/>
            <family val="2"/>
          </rPr>
          <t>2016/2251 du 22/03/16 relative à la prise en charge de l'OP D1405: montant comptabilisé inférieur de 1 par rapport au montant de l'OP</t>
        </r>
      </text>
    </comment>
    <comment ref="S263" authorId="0">
      <text>
        <r>
          <rPr>
            <b/>
            <sz val="8"/>
            <rFont val="Tahoma"/>
            <family val="2"/>
          </rPr>
          <t>2016/4059 du 07/06/16 relative à la prise en charge de l'OR D1285: montant comptabilisé dépasse 0,40 du montant de l'OR</t>
        </r>
      </text>
    </comment>
    <comment ref="U263" authorId="0">
      <text>
        <r>
          <rPr>
            <b/>
            <sz val="8"/>
            <rFont val="Tahoma"/>
            <family val="2"/>
          </rPr>
          <t>redresser dans colonne X, projet concerné</t>
        </r>
      </text>
    </comment>
    <comment ref="Z263" authorId="0">
      <text>
        <r>
          <rPr>
            <b/>
            <sz val="8"/>
            <rFont val="Tahoma"/>
            <family val="2"/>
          </rPr>
          <t>Redressement des écritures erronées 2016/2251 et 2016/4059</t>
        </r>
      </text>
    </comment>
  </commentList>
</comments>
</file>

<file path=xl/sharedStrings.xml><?xml version="1.0" encoding="utf-8"?>
<sst xmlns="http://schemas.openxmlformats.org/spreadsheetml/2006/main" count="990" uniqueCount="582">
  <si>
    <t>Compte</t>
  </si>
  <si>
    <t>Sous-compte</t>
  </si>
  <si>
    <t>NI taloha</t>
  </si>
  <si>
    <t>Date de convention</t>
  </si>
  <si>
    <t xml:space="preserve">Intitulé Projet </t>
  </si>
  <si>
    <t>Devise</t>
  </si>
  <si>
    <t>(en devise)</t>
  </si>
  <si>
    <t>(en Ariary)</t>
  </si>
  <si>
    <t>BAD</t>
  </si>
  <si>
    <t>USD</t>
  </si>
  <si>
    <t>1621-01-09</t>
  </si>
  <si>
    <t>1280</t>
  </si>
  <si>
    <t>Projet de Réhabilitation des Infrastructures Agricoles</t>
  </si>
  <si>
    <t>TOTAL BAD</t>
  </si>
  <si>
    <t xml:space="preserve">BADEA </t>
  </si>
  <si>
    <t>16211-02-06</t>
  </si>
  <si>
    <t>10001105</t>
  </si>
  <si>
    <t>PISTE RURALE 7EME PRJT ROUTIER</t>
  </si>
  <si>
    <t>16211-02-11</t>
  </si>
  <si>
    <t>00115600/10001305</t>
  </si>
  <si>
    <t>DVPT SEC ENERGIE PHASE II</t>
  </si>
  <si>
    <t>16211-02-12</t>
  </si>
  <si>
    <t>0015500/10001205</t>
  </si>
  <si>
    <t>REHAB. PONTS</t>
  </si>
  <si>
    <t>16211-02-13</t>
  </si>
  <si>
    <t>00110800</t>
  </si>
  <si>
    <t>ADDUCTION EAU POTABLE AMBALAVAO</t>
  </si>
  <si>
    <t>16211-02-14</t>
  </si>
  <si>
    <t>00103700</t>
  </si>
  <si>
    <t>APPUI A L'ENSEIGNEMENT GENERAL</t>
  </si>
  <si>
    <t>16211-02-15</t>
  </si>
  <si>
    <t>00106700</t>
  </si>
  <si>
    <t>REHABILITATION RN6</t>
  </si>
  <si>
    <t>16211-02-16</t>
  </si>
  <si>
    <t>00106900</t>
  </si>
  <si>
    <t>RECONSTRUCTION ECOLES</t>
  </si>
  <si>
    <t>16211-02-17</t>
  </si>
  <si>
    <t>00114200</t>
  </si>
  <si>
    <t>3EME CENTRAL HYDROELEC ANDEKALEKA</t>
  </si>
  <si>
    <t>16211-02-18</t>
  </si>
  <si>
    <t>00119900</t>
  </si>
  <si>
    <t>REH INFRA ILE STE MARIE</t>
  </si>
  <si>
    <t>16211-02-19</t>
  </si>
  <si>
    <t>00121400</t>
  </si>
  <si>
    <t>PROJ CONSTR EQUIP SIEGE INSCAE</t>
  </si>
  <si>
    <t>16211-02-20</t>
  </si>
  <si>
    <t>00115300</t>
  </si>
  <si>
    <t>PROJ ROUTE SAMBAINA FARA SOAVIN</t>
  </si>
  <si>
    <t>1621-02-21</t>
  </si>
  <si>
    <t>00128800</t>
  </si>
  <si>
    <t>REHAB DE LA RN 43 FARATSIHO - SAMBAINA</t>
  </si>
  <si>
    <t>1621-02-22</t>
  </si>
  <si>
    <t>00129800</t>
  </si>
  <si>
    <t>CONSTRUCTION ROUTE SOAN-IVONGO - VAHIBE</t>
  </si>
  <si>
    <t>TOTAL BADEA</t>
  </si>
  <si>
    <t>CEE/BEI</t>
  </si>
  <si>
    <t>00088700</t>
  </si>
  <si>
    <t>71138 JIRAMA EAU</t>
  </si>
  <si>
    <t>EUR</t>
  </si>
  <si>
    <t>00088900</t>
  </si>
  <si>
    <t>71139 JIRAMA POWER REHAB II</t>
  </si>
  <si>
    <t>TOTAL CEE/BEI</t>
  </si>
  <si>
    <t>FAD</t>
  </si>
  <si>
    <t>16211-05-22</t>
  </si>
  <si>
    <t>00117500</t>
  </si>
  <si>
    <t>PJT REHAB ET ENTRETIEN ROUTE 90/23</t>
  </si>
  <si>
    <t>00117600</t>
  </si>
  <si>
    <t>16211-05-27</t>
  </si>
  <si>
    <t>00113700</t>
  </si>
  <si>
    <t>PROJ TULEAR F/FAD Protection Tuléar</t>
  </si>
  <si>
    <t>16211-05-36</t>
  </si>
  <si>
    <t>00117900</t>
  </si>
  <si>
    <t xml:space="preserve">EDUCATION 3 98/35 </t>
  </si>
  <si>
    <t>00119000</t>
  </si>
  <si>
    <t>16211-05-37</t>
  </si>
  <si>
    <t>00117800</t>
  </si>
  <si>
    <t>JEUNES ENTREPRENEURS RURAUX 98/34</t>
  </si>
  <si>
    <t>00118200</t>
  </si>
  <si>
    <t>16211-05-38</t>
  </si>
  <si>
    <t>00118000</t>
  </si>
  <si>
    <t>PROJET SANTE II 99/38</t>
  </si>
  <si>
    <t>00118800</t>
  </si>
  <si>
    <t>16211-05-39</t>
  </si>
  <si>
    <t>00118100</t>
  </si>
  <si>
    <t>REHAB BAS MANGOKY 99/40</t>
  </si>
  <si>
    <t>00118400</t>
  </si>
  <si>
    <t>16211-05-40</t>
  </si>
  <si>
    <t>00120300</t>
  </si>
  <si>
    <t>REPARAT° DEGATS CYCLONIQUES 00/42</t>
  </si>
  <si>
    <t>00121500</t>
  </si>
  <si>
    <t>16211-05-42</t>
  </si>
  <si>
    <t>00114300</t>
  </si>
  <si>
    <t xml:space="preserve">ALIMENTATION EAU POTABLE GRAND SUD </t>
  </si>
  <si>
    <t>00121900</t>
  </si>
  <si>
    <t>ALIMENTATION EAU POTABLE GRAND SUD</t>
  </si>
  <si>
    <t>16211-05-43</t>
  </si>
  <si>
    <t>00119500</t>
  </si>
  <si>
    <t>16211-05-44</t>
  </si>
  <si>
    <t>00121800</t>
  </si>
  <si>
    <t>PROGRAM. EAU  ET ASSAINISMT RURAUX 11344</t>
  </si>
  <si>
    <t>00125000</t>
  </si>
  <si>
    <t>JPY</t>
  </si>
  <si>
    <t>00119600</t>
  </si>
  <si>
    <t>16211-05-45</t>
  </si>
  <si>
    <t>00125100</t>
  </si>
  <si>
    <t>APPUI AUX PECHEURS DE TULEAR 10902</t>
  </si>
  <si>
    <t>00126300</t>
  </si>
  <si>
    <t>00120400</t>
  </si>
  <si>
    <t>16211-05-46</t>
  </si>
  <si>
    <t>00114700</t>
  </si>
  <si>
    <t>LUTTE ANTIACRIDIENNE 200112</t>
  </si>
  <si>
    <t>1135+1191</t>
  </si>
  <si>
    <t>16211-05-47</t>
  </si>
  <si>
    <t>00114900</t>
  </si>
  <si>
    <t>PMG-DBO-008 REH ROUTES PROVINCIALES</t>
  </si>
  <si>
    <t>00122000</t>
  </si>
  <si>
    <t>16211-05-48</t>
  </si>
  <si>
    <t>00124500</t>
  </si>
  <si>
    <t>REHAB PERIMETRE MAHANOMBO PMG A00-001</t>
  </si>
  <si>
    <t>00125200</t>
  </si>
  <si>
    <t>16211-05-49</t>
  </si>
  <si>
    <t>00126100</t>
  </si>
  <si>
    <t>PABRP II</t>
  </si>
  <si>
    <t>16211-05-50</t>
  </si>
  <si>
    <t>00121600</t>
  </si>
  <si>
    <t>8693 PROJET ROUTE TULEAR</t>
  </si>
  <si>
    <t>00126500</t>
  </si>
  <si>
    <t>GBP</t>
  </si>
  <si>
    <t>00122200</t>
  </si>
  <si>
    <t>16211-05-51</t>
  </si>
  <si>
    <t>00126600</t>
  </si>
  <si>
    <t>Prêt suppl- Projet de réhab périmètre Bas Mangoky</t>
  </si>
  <si>
    <t>00126000</t>
  </si>
  <si>
    <t>Nouveaux Prêts</t>
  </si>
  <si>
    <t>1621-05-52</t>
  </si>
  <si>
    <t>00128500</t>
  </si>
  <si>
    <t>REHAB DES INFRASTRUCTURES AGRI 29294</t>
  </si>
  <si>
    <t>00127900</t>
  </si>
  <si>
    <t>FCU</t>
  </si>
  <si>
    <t>1621-05-53</t>
  </si>
  <si>
    <t>00129200</t>
  </si>
  <si>
    <t>PJT APPUI GOUV INST PAGI 29 843</t>
  </si>
  <si>
    <t>00127700</t>
  </si>
  <si>
    <t>PJT APPUI GOUV INST (PAGI) 29 843</t>
  </si>
  <si>
    <t>1621-05-54</t>
  </si>
  <si>
    <t>00129100</t>
  </si>
  <si>
    <t>PGM AMENAGEMENT INFR ROUTE 29 944</t>
  </si>
  <si>
    <t>00127800</t>
  </si>
  <si>
    <t>PJT AMENAG INFRA RTE (PAIR) 29 944</t>
  </si>
  <si>
    <t>1621-05-55</t>
  </si>
  <si>
    <t>00128600</t>
  </si>
  <si>
    <t>PJT URGENCE RELANCE ECOPURE</t>
  </si>
  <si>
    <t>1621-05-56</t>
  </si>
  <si>
    <t>00129600</t>
  </si>
  <si>
    <t>PRBM-PS PJT BAS MANGOKY II</t>
  </si>
  <si>
    <t>1621-05-57</t>
  </si>
  <si>
    <t>00129700</t>
  </si>
  <si>
    <t>PRMB-PE Projet d''Extension du Périmètre du Bas Mangoky</t>
  </si>
  <si>
    <t>TOTAL FAD</t>
  </si>
  <si>
    <t>16211-5-82</t>
  </si>
  <si>
    <t>AFD</t>
  </si>
  <si>
    <t>Prêt de Soutien Budgétaire AFD</t>
  </si>
  <si>
    <t>TOTAL AFD</t>
  </si>
  <si>
    <t xml:space="preserve"> FIDA </t>
  </si>
  <si>
    <t>16211-06-01</t>
  </si>
  <si>
    <t>FIDA</t>
  </si>
  <si>
    <t>00038300</t>
  </si>
  <si>
    <t>11 MG MANGOKY</t>
  </si>
  <si>
    <t>SDR</t>
  </si>
  <si>
    <t>16211-06-02</t>
  </si>
  <si>
    <t>00043700</t>
  </si>
  <si>
    <t>91MG 2è PJT ELEVAGE ET DVLPMNT</t>
  </si>
  <si>
    <t>16211-06-04</t>
  </si>
  <si>
    <t>00045200</t>
  </si>
  <si>
    <t>119MG PJT RIZ HAUT PLATEAUX</t>
  </si>
  <si>
    <t>16211-06-06</t>
  </si>
  <si>
    <t>00058900</t>
  </si>
  <si>
    <t>231MG DVLPMT HAUT PLATEAUX</t>
  </si>
  <si>
    <t>16211-06-07</t>
  </si>
  <si>
    <t>00063400</t>
  </si>
  <si>
    <t>286MG DVLPMT MOYEN OUEST</t>
  </si>
  <si>
    <t>16211-06-08</t>
  </si>
  <si>
    <t>00076400</t>
  </si>
  <si>
    <t>441MG 2ND ENVIRONEMENT PROGRAM</t>
  </si>
  <si>
    <t>16211-06-09</t>
  </si>
  <si>
    <t>00076600</t>
  </si>
  <si>
    <t>410MG AMELIORATION ET DVLPMT AGRICOLE</t>
  </si>
  <si>
    <t>16211-06-10</t>
  </si>
  <si>
    <t>00072000</t>
  </si>
  <si>
    <t>SRS045 MISE EN VALEUR DU HAUT BASSIN DU MANDRARE</t>
  </si>
  <si>
    <t>16211-06-11</t>
  </si>
  <si>
    <t>00072100</t>
  </si>
  <si>
    <t>376MG MISE EN VALEUR DU HAUT BASSIN DU MANDRARE</t>
  </si>
  <si>
    <t>16211-06-12</t>
  </si>
  <si>
    <t>00105200</t>
  </si>
  <si>
    <t>548 MAG BASSIN MANDRARE PHASE II</t>
  </si>
  <si>
    <t>16211-06-13</t>
  </si>
  <si>
    <t>00115400</t>
  </si>
  <si>
    <t>689 MG MENABE MELAKY</t>
  </si>
  <si>
    <t>16211-06-14</t>
  </si>
  <si>
    <t>00122500</t>
  </si>
  <si>
    <t xml:space="preserve">621 MG PROMOTION REVENUS RURAUX PPRR </t>
  </si>
  <si>
    <t>16211-06-15</t>
  </si>
  <si>
    <t>00122400</t>
  </si>
  <si>
    <t>737 MG PRG SOUTIEN POLE DE MICRO E/SE RURALE</t>
  </si>
  <si>
    <t>16211-06-16</t>
  </si>
  <si>
    <t>00124900</t>
  </si>
  <si>
    <t>753 MG APPUI RENFORCEMENT ORG PROF S/CE AGRI</t>
  </si>
  <si>
    <t>16211-06-17</t>
  </si>
  <si>
    <t>00127000</t>
  </si>
  <si>
    <t>16211-06-18</t>
  </si>
  <si>
    <t>00127100</t>
  </si>
  <si>
    <t>16211-06-19</t>
  </si>
  <si>
    <t>00127300</t>
  </si>
  <si>
    <t>737- A SOUTIEN ENT RURALES</t>
  </si>
  <si>
    <t>16211-06-20</t>
  </si>
  <si>
    <t>00127600</t>
  </si>
  <si>
    <t>689 A MG DVLPT MENABE MELAKY</t>
  </si>
  <si>
    <t>TOTAL FIDA</t>
  </si>
  <si>
    <t>IDA</t>
  </si>
  <si>
    <t>16211-08-66</t>
  </si>
  <si>
    <t>00115900</t>
  </si>
  <si>
    <t>2844 MAG DVPT SECTEUR ENERGIE</t>
  </si>
  <si>
    <t>00111700</t>
  </si>
  <si>
    <t>3060-1MAG 2ème PROJET NUTR COMMUNE</t>
  </si>
  <si>
    <t>16211-08-77</t>
  </si>
  <si>
    <t>00116200</t>
  </si>
  <si>
    <t>3025 MAG PROJ PILOTE ALIM EAU</t>
  </si>
  <si>
    <t>16211-08-78</t>
  </si>
  <si>
    <t>00116300</t>
  </si>
  <si>
    <t>3046 MAG CRESED II</t>
  </si>
  <si>
    <t>16211-08-79</t>
  </si>
  <si>
    <t>00116100</t>
  </si>
  <si>
    <t>2968 MAG PROJ INFRA URBAINE AGETIPA 2</t>
  </si>
  <si>
    <t>16211-08-81</t>
  </si>
  <si>
    <t>00116500</t>
  </si>
  <si>
    <t>3217 MAG MICRO FINANCE</t>
  </si>
  <si>
    <t>16211-08-83</t>
  </si>
  <si>
    <t>00116600</t>
  </si>
  <si>
    <t>3302 MAG APPUI SECTEUR SANTE (CRESAN II)</t>
  </si>
  <si>
    <t>16211-08-84</t>
  </si>
  <si>
    <t>00116700</t>
  </si>
  <si>
    <t>3364 MAG SECT TRANSPORT</t>
  </si>
  <si>
    <t>16211-08-90</t>
  </si>
  <si>
    <t>00117300</t>
  </si>
  <si>
    <t>3717 MAG PROJET TRANSPORT RURAL</t>
  </si>
  <si>
    <t>16211-08-91</t>
  </si>
  <si>
    <t>00117000</t>
  </si>
  <si>
    <t>3498 MAG DVPT COMMUNAUTAIRE FID IV</t>
  </si>
  <si>
    <t>16211-08-92</t>
  </si>
  <si>
    <t>00116900</t>
  </si>
  <si>
    <t>16211-08-93</t>
  </si>
  <si>
    <t>00117100</t>
  </si>
  <si>
    <t>3567 MAG PDSP II</t>
  </si>
  <si>
    <t>16211-08-94</t>
  </si>
  <si>
    <t>00117200</t>
  </si>
  <si>
    <t>3589 MAG PMPS</t>
  </si>
  <si>
    <t>16211-08-95</t>
  </si>
  <si>
    <t>00112900</t>
  </si>
  <si>
    <t>16211-08-96</t>
  </si>
  <si>
    <t>00117400</t>
  </si>
  <si>
    <t>3754 MAG PROJET GOUVEANCE RESS MINERALES</t>
  </si>
  <si>
    <t>16211-08-97</t>
  </si>
  <si>
    <t>00111800</t>
  </si>
  <si>
    <t>3829 MAG GOUVERNANCE /DVPT INST° PGDI</t>
  </si>
  <si>
    <t>16211-08-98</t>
  </si>
  <si>
    <t>00112200</t>
  </si>
  <si>
    <t>3836 MAG INFRASTRUCTURE</t>
  </si>
  <si>
    <t>16211-08-99</t>
  </si>
  <si>
    <t>00114100</t>
  </si>
  <si>
    <t>4100 MAG CARP  II</t>
  </si>
  <si>
    <t>16211-08-100</t>
  </si>
  <si>
    <t>00119200</t>
  </si>
  <si>
    <t>4221 MAG CARP III</t>
  </si>
  <si>
    <t>16211-08-101</t>
  </si>
  <si>
    <t>00119300</t>
  </si>
  <si>
    <t>4223 MAG P2RS2E</t>
  </si>
  <si>
    <t>16211-08-102</t>
  </si>
  <si>
    <t>00120000</t>
  </si>
  <si>
    <t>3060-2MAG 2ème PROJET NUTR COMMUNE</t>
  </si>
  <si>
    <t>16211-08-103</t>
  </si>
  <si>
    <t>00120100</t>
  </si>
  <si>
    <t>4244 MAG BASSINS PERIMETRES IRRIGUES</t>
  </si>
  <si>
    <t>16211-08-104</t>
  </si>
  <si>
    <t>00113900</t>
  </si>
  <si>
    <t>4101 MAG POLE INTEGRE</t>
  </si>
  <si>
    <t>16211-08-105</t>
  </si>
  <si>
    <t>00119800</t>
  </si>
  <si>
    <t>3498 -2MAG DVPT COMMUNAUTAIRE</t>
  </si>
  <si>
    <t>16211-08-106</t>
  </si>
  <si>
    <t>00114000</t>
  </si>
  <si>
    <t>4104 MAG VIH/SIDA</t>
  </si>
  <si>
    <t>16211-08-107</t>
  </si>
  <si>
    <t>00113800</t>
  </si>
  <si>
    <t>3302-1MAG CRESAN II</t>
  </si>
  <si>
    <t>16211-08-108</t>
  </si>
  <si>
    <t>00120500</t>
  </si>
  <si>
    <t>4285 MAG INFRASTRUCTURE DE COMMUNICAT°</t>
  </si>
  <si>
    <t>16211-08-109</t>
  </si>
  <si>
    <t>00120600</t>
  </si>
  <si>
    <t>3836 -1MAG INFRASTRUCTURE</t>
  </si>
  <si>
    <t>16211-08-110</t>
  </si>
  <si>
    <t>00120700</t>
  </si>
  <si>
    <t>3829 -1MAG GOUVERNANCE /DVPT INST°</t>
  </si>
  <si>
    <t>16211-08-111</t>
  </si>
  <si>
    <t>00120800</t>
  </si>
  <si>
    <t>4305 MAG SYSTEME SANTE</t>
  </si>
  <si>
    <t>16211-08-112</t>
  </si>
  <si>
    <t>00120900</t>
  </si>
  <si>
    <t>3217-1 MAG MICRO FINANCE</t>
  </si>
  <si>
    <t>16211-08-113</t>
  </si>
  <si>
    <t>00121000</t>
  </si>
  <si>
    <t>3754 -1MAG PROJET GOUVEANCE RESS MINERALES</t>
  </si>
  <si>
    <t>16211-08-114</t>
  </si>
  <si>
    <t>00121300</t>
  </si>
  <si>
    <t>4341 MAG CARP IV</t>
  </si>
  <si>
    <t>16211-08-115</t>
  </si>
  <si>
    <t>00122900</t>
  </si>
  <si>
    <t>4486 MAG CARP V</t>
  </si>
  <si>
    <t>16211-08-116</t>
  </si>
  <si>
    <t>16211-08-117</t>
  </si>
  <si>
    <t>00123000</t>
  </si>
  <si>
    <t>16211-08-118</t>
  </si>
  <si>
    <t>00125700</t>
  </si>
  <si>
    <t>4537 MAG PROJET D'URGENCE</t>
  </si>
  <si>
    <t>16211-08-119</t>
  </si>
  <si>
    <t>00125600</t>
  </si>
  <si>
    <t>00113000</t>
  </si>
  <si>
    <t>3498-1 MAG DVLPT COMMUNAUTAIRE</t>
  </si>
  <si>
    <t>16211-08-121</t>
  </si>
  <si>
    <t>00126400</t>
  </si>
  <si>
    <t>16211-08-124</t>
  </si>
  <si>
    <t>1267</t>
  </si>
  <si>
    <t>00126700</t>
  </si>
  <si>
    <t>16211-08-122</t>
  </si>
  <si>
    <t>1268</t>
  </si>
  <si>
    <t>00126800</t>
  </si>
  <si>
    <t>5186-0MAG APPUI EDUC SANTE NUTRI</t>
  </si>
  <si>
    <t>16211-08-123</t>
  </si>
  <si>
    <t>00126900</t>
  </si>
  <si>
    <t>00128200</t>
  </si>
  <si>
    <t>5382-MAG FIN ADD-PROJ APPUI URGENCE SCES EDUCATION SANTE ET NUTRITION</t>
  </si>
  <si>
    <t>00128300</t>
  </si>
  <si>
    <t>16211-08-126</t>
  </si>
  <si>
    <t>00129000</t>
  </si>
  <si>
    <t>55820-MG Appui budgétaire relatif à l'Opération de Politique de Développement et de Réengagement (OPDR)</t>
  </si>
  <si>
    <t>00129400</t>
  </si>
  <si>
    <t>5564-0MAG PJT CORRIDOR ET PIC 2</t>
  </si>
  <si>
    <t>TOTAL IDA</t>
  </si>
  <si>
    <t>OPEP</t>
  </si>
  <si>
    <t>16211-10-10</t>
  </si>
  <si>
    <t>PRET 576 P DVPT MOYEN OUEST</t>
  </si>
  <si>
    <t>16211-10-11</t>
  </si>
  <si>
    <t>PRET 518 P REHAB ROUTE</t>
  </si>
  <si>
    <t>16211-10-12</t>
  </si>
  <si>
    <t>CR N° 722 P Education II</t>
  </si>
  <si>
    <t>16211-10-13</t>
  </si>
  <si>
    <t>REHAB PONTS CR N° 703 P</t>
  </si>
  <si>
    <t>16211-10-14</t>
  </si>
  <si>
    <t>PRÊT 748P AMELIORATION EDUCATION</t>
  </si>
  <si>
    <t>16211-10-15</t>
  </si>
  <si>
    <t>792P REHAB RIZ BAS MANGOKY</t>
  </si>
  <si>
    <t>16211-10-16</t>
  </si>
  <si>
    <t>PRÊT 793 PREHAB ROUTE PHASE II</t>
  </si>
  <si>
    <t>16211-10-17</t>
  </si>
  <si>
    <t>NR 867H REAM HIPC</t>
  </si>
  <si>
    <t>16211-10-18</t>
  </si>
  <si>
    <t>00112400</t>
  </si>
  <si>
    <t>970P -PROMOTION REVENUS RURAUX</t>
  </si>
  <si>
    <t>16211-10-19</t>
  </si>
  <si>
    <t>00114500</t>
  </si>
  <si>
    <t>1051P EXT ANDEKALEKA PHASE II</t>
  </si>
  <si>
    <t>16211-10-20</t>
  </si>
  <si>
    <t>00113400</t>
  </si>
  <si>
    <t>Contrôle Maladies Transmissibles  998P</t>
  </si>
  <si>
    <t>16211-10-21</t>
  </si>
  <si>
    <t>00114400</t>
  </si>
  <si>
    <t>REHABILITATION ROUTE TULEAR 1052 P</t>
  </si>
  <si>
    <t>16211-10-22</t>
  </si>
  <si>
    <t>00121200</t>
  </si>
  <si>
    <t>REHAB INFRA STE MARIE 1135 P</t>
  </si>
  <si>
    <t>16211-10-23</t>
  </si>
  <si>
    <t>00125400</t>
  </si>
  <si>
    <t>PROSPERER 1212P</t>
  </si>
  <si>
    <t>16211-10-24</t>
  </si>
  <si>
    <t>00126200</t>
  </si>
  <si>
    <t>REHABILITATION RN6 - 1279P</t>
  </si>
  <si>
    <t>16211-10-26</t>
  </si>
  <si>
    <t>00127400</t>
  </si>
  <si>
    <t>16211-10-25</t>
  </si>
  <si>
    <t>00127500</t>
  </si>
  <si>
    <t>Projet d'Aménagement des Infrastructures Routières (PAIR)</t>
  </si>
  <si>
    <t>TOTAL OPEP</t>
  </si>
  <si>
    <t>ALGERIE</t>
  </si>
  <si>
    <t>Fin. Balance de Paiement</t>
  </si>
  <si>
    <t>TOTAL ALGERIE</t>
  </si>
  <si>
    <t>ICO Espagne</t>
  </si>
  <si>
    <t>00110900</t>
  </si>
  <si>
    <t>Proj électrification rurale</t>
  </si>
  <si>
    <t>TOTAL ICO Espagne</t>
  </si>
  <si>
    <t>COREE</t>
  </si>
  <si>
    <t>00124800</t>
  </si>
  <si>
    <t>REHAB RN 35 TOLIARA</t>
  </si>
  <si>
    <t>TOTAL COREE</t>
  </si>
  <si>
    <t>INDE</t>
  </si>
  <si>
    <t>16213-02-01</t>
  </si>
  <si>
    <t>00125300</t>
  </si>
  <si>
    <t>PRODUCTION RIZ ET ENGRAIS</t>
  </si>
  <si>
    <t>TOTAL INDE</t>
  </si>
  <si>
    <t>ARABIE SAOUDITE</t>
  </si>
  <si>
    <t>ARABIE S</t>
  </si>
  <si>
    <t>00119700</t>
  </si>
  <si>
    <t>PROJET ROUTE SAMBAINA FARA-SOAV</t>
  </si>
  <si>
    <t>SAR</t>
  </si>
  <si>
    <t>MEMO OF UNDERSTANDING</t>
  </si>
  <si>
    <t>TOTAL ARABIE SAOUDITE</t>
  </si>
  <si>
    <t>KOWEIT</t>
  </si>
  <si>
    <t>00105100</t>
  </si>
  <si>
    <t>REHABILITATION RN6 N° 606</t>
  </si>
  <si>
    <t>KWD</t>
  </si>
  <si>
    <t>00115200</t>
  </si>
  <si>
    <t>EXT°  ANDEKALEKA</t>
  </si>
  <si>
    <t>10000105</t>
  </si>
  <si>
    <t>ARRANGEMENT FIN SPEC 2</t>
  </si>
  <si>
    <t>TOTAL KOWEIT</t>
  </si>
  <si>
    <t>ABU DHABI</t>
  </si>
  <si>
    <t>GVT EMIRAT</t>
  </si>
  <si>
    <t>Andekaleka Prêt n° 556 (1056) (NI 10001405)</t>
  </si>
  <si>
    <t>AED</t>
  </si>
  <si>
    <t>1621-33-02</t>
  </si>
  <si>
    <t>00128900</t>
  </si>
  <si>
    <t>PROJ AMENAG ET DE BITUMAGE RN5 SOAN-IVONGO - MANANARA NORD</t>
  </si>
  <si>
    <t>TOTAL GVT EMIRAT</t>
  </si>
  <si>
    <t>CHINE</t>
  </si>
  <si>
    <t>162130-24-05</t>
  </si>
  <si>
    <t>00121100</t>
  </si>
  <si>
    <t>Projet Hotel 5 Etoiles de M/CAR</t>
  </si>
  <si>
    <t>CNY</t>
  </si>
  <si>
    <t>162130-24-06</t>
  </si>
  <si>
    <t>00115700</t>
  </si>
  <si>
    <t>PROJET MULTISECTORIELS</t>
  </si>
  <si>
    <t>TOTAL CHINE</t>
  </si>
  <si>
    <t>AUTRES</t>
  </si>
  <si>
    <t>GVT ANGOLA</t>
  </si>
  <si>
    <t>Gvt Angola-Fin. Balance de Paiement</t>
  </si>
  <si>
    <t>IRAK</t>
  </si>
  <si>
    <t>10001905</t>
  </si>
  <si>
    <t>Irak-Protocole d'accord</t>
  </si>
  <si>
    <t>LIBYE</t>
  </si>
  <si>
    <t>Libye-Accord de reglement du 19/09/08</t>
  </si>
  <si>
    <t>RUSSIE</t>
  </si>
  <si>
    <t>TOTAL AUTRES</t>
  </si>
  <si>
    <t>BON DU TRESOR</t>
  </si>
  <si>
    <t>Bons du Trésor IDA</t>
  </si>
  <si>
    <t>MGA</t>
  </si>
  <si>
    <t>Bons du Trésor FMI</t>
  </si>
  <si>
    <t>TOTAL BON DU TRESOR</t>
  </si>
  <si>
    <t>TOTAL GENERAL 1621</t>
  </si>
  <si>
    <t>1125</t>
  </si>
  <si>
    <t xml:space="preserve">  </t>
  </si>
  <si>
    <t>Réamenagement de la dette - 2015</t>
  </si>
  <si>
    <t>Encours  31/12/2015</t>
  </si>
  <si>
    <t>Tirage 2016</t>
  </si>
  <si>
    <t>Remboursement échéance 2016</t>
  </si>
  <si>
    <t>Retour de fond</t>
  </si>
  <si>
    <t>Amortissement 2016</t>
  </si>
  <si>
    <t>Encours  31/12/2016</t>
  </si>
  <si>
    <t>Ajustement fin d'année après la réévaluation partielle</t>
  </si>
  <si>
    <t>Contrepartie écart de conversion 2016 non apuré</t>
  </si>
  <si>
    <t>Réévaluation prise en charge en 2016</t>
  </si>
  <si>
    <t xml:space="preserve">Total </t>
  </si>
  <si>
    <t>Cours au 31/12/16</t>
  </si>
  <si>
    <t>(en ariary au taux du 31/12/16</t>
  </si>
  <si>
    <t>4763 restant</t>
  </si>
  <si>
    <t>1621-33-01</t>
  </si>
  <si>
    <t xml:space="preserve"> </t>
  </si>
  <si>
    <t>16211-06-21</t>
  </si>
  <si>
    <t>1306</t>
  </si>
  <si>
    <t>00130600</t>
  </si>
  <si>
    <t>PROSPERER - Prêt supplémentaire 2015 (2000001241)</t>
  </si>
  <si>
    <t>16211-06-22</t>
  </si>
  <si>
    <t>1307</t>
  </si>
  <si>
    <t>00130700</t>
  </si>
  <si>
    <t>AD2M 2015 (2000001263)</t>
  </si>
  <si>
    <t>Projet de  Construction et d'equipement INSCAE 1505P</t>
  </si>
  <si>
    <t>16211-10-27</t>
  </si>
  <si>
    <t>00129900</t>
  </si>
  <si>
    <t>1654P PROJ DVLPM HYDRO-AGRICOLE BEBOKA</t>
  </si>
  <si>
    <t>16211-10-28</t>
  </si>
  <si>
    <t>00130000</t>
  </si>
  <si>
    <t>1655P PROJ AMEL ACCES ENERGETIQUE DANS LES PIC</t>
  </si>
  <si>
    <t>16211-10-29</t>
  </si>
  <si>
    <t xml:space="preserve">OPEP </t>
  </si>
  <si>
    <t>00132400</t>
  </si>
  <si>
    <t>PJT REHAB RN5 SOANIERANA IVONGO-MANANARA NORD</t>
  </si>
  <si>
    <t>00128700</t>
  </si>
  <si>
    <t>1621-15-83</t>
  </si>
  <si>
    <t>1326</t>
  </si>
  <si>
    <t>00132600</t>
  </si>
  <si>
    <t>65</t>
  </si>
  <si>
    <t>1621-34-03</t>
  </si>
  <si>
    <t>1621-34</t>
  </si>
  <si>
    <t>BCM</t>
  </si>
  <si>
    <t>1328</t>
  </si>
  <si>
    <t xml:space="preserve">FEC 2016 FACILITE ELARGIE DE CREDITS </t>
  </si>
  <si>
    <t>TOTAL BCM</t>
  </si>
  <si>
    <t>1621-04-13</t>
  </si>
  <si>
    <t>1621-04-12</t>
  </si>
  <si>
    <t>1621-32-01</t>
  </si>
  <si>
    <t>00130400</t>
  </si>
  <si>
    <t>MDG-2 PROJET CENTRE GESTION CATASTROPHE NATIONAL</t>
  </si>
  <si>
    <t>KRW</t>
  </si>
  <si>
    <t>PABRP I (Projet d'Appui Budgétaire à la Réduction de la Pauvreté)</t>
  </si>
  <si>
    <t>1621-05-58</t>
  </si>
  <si>
    <t>FAD/BAD</t>
  </si>
  <si>
    <t>00130900</t>
  </si>
  <si>
    <t>1621-05-59</t>
  </si>
  <si>
    <t>00130800</t>
  </si>
  <si>
    <t>1621-05-60</t>
  </si>
  <si>
    <t>00131000</t>
  </si>
  <si>
    <t>1621-05-61</t>
  </si>
  <si>
    <t>00131100</t>
  </si>
  <si>
    <t>1621-05-62</t>
  </si>
  <si>
    <t>00132300</t>
  </si>
  <si>
    <t>(PARGE) PROG D'APPUI REFORMES DE LA GESTION ECONOMIQUE (35044)</t>
  </si>
  <si>
    <t>3524 MAG SOUTIEN AU DVPT RURAL</t>
  </si>
  <si>
    <t>3960 MAG FARP (Appui de la Réduction de la Pauvreté)</t>
  </si>
  <si>
    <t>4399 -0MAG (PIC II) POLE INTEGRE DE CROISSANCE II</t>
  </si>
  <si>
    <t xml:space="preserve">4411 -0MAG (PGDI II) PRG BONNE GOUVERNANCE </t>
  </si>
  <si>
    <t>4525-MAG (PSDR-FIN ADD) PRJ DEVELOPT RURAL</t>
  </si>
  <si>
    <t>16211-08-120</t>
  </si>
  <si>
    <t xml:space="preserve">4965-0MAG (PEIII) FIN ADD 3° PROJ ENVIRONNEMENTAL </t>
  </si>
  <si>
    <t>5187-MAG (PUPIRV) PROJ D'URG PRESERV INFRA REDUC VULNERABILITE</t>
  </si>
  <si>
    <t xml:space="preserve">5124-0MAG (PMPS II) 2° FIN PROJ MULTI PREV SIDA </t>
  </si>
  <si>
    <t>16211-08-125</t>
  </si>
  <si>
    <t>16211-08-127</t>
  </si>
  <si>
    <t xml:space="preserve">5374-MAG (PURSAPS) PROJ URGENCE SECURITE ALIMENTAIRE ET PROTECTION SOCIALE </t>
  </si>
  <si>
    <t>16211-08-128</t>
  </si>
  <si>
    <t>16211-08-129</t>
  </si>
  <si>
    <t>16211-08-130</t>
  </si>
  <si>
    <t>00131900</t>
  </si>
  <si>
    <t>16211-08-131</t>
  </si>
  <si>
    <t>00132000</t>
  </si>
  <si>
    <t xml:space="preserve">5708-MG (FSS) FILET DE SECURITE SOCIAL </t>
  </si>
  <si>
    <t>16211-08-132</t>
  </si>
  <si>
    <t>00132100</t>
  </si>
  <si>
    <t>16211-08-133</t>
  </si>
  <si>
    <t>00132200</t>
  </si>
  <si>
    <t>5775-0MG (CASEF) CROISSANCE AGRICOLE ET SECURISATION FONCIERE</t>
  </si>
  <si>
    <t>1621-35-04</t>
  </si>
  <si>
    <t>1621-35-05</t>
  </si>
  <si>
    <t>1621-35</t>
  </si>
  <si>
    <t>1621-26</t>
  </si>
  <si>
    <t>1621-28</t>
  </si>
  <si>
    <t>1621-29-04</t>
  </si>
  <si>
    <t>1621-21-01</t>
  </si>
  <si>
    <t xml:space="preserve">Balance </t>
  </si>
  <si>
    <t>Bons du Trésor FIHARY</t>
  </si>
  <si>
    <t>AUTRES EMPRUNTS</t>
  </si>
  <si>
    <t>Dettes s/ titrisation de la BCM convention 31/03/2004</t>
  </si>
  <si>
    <t>Emprunts OMNIS</t>
  </si>
  <si>
    <t>Avances spéciales SEPT TOAMASINA</t>
  </si>
  <si>
    <t>BTS : Obligation sur recapitalisation de la BCM (16128 réimputé au compte 16118)</t>
  </si>
  <si>
    <t xml:space="preserve">BCM: pertes de change relatif aux ventes de devise, à la stérilisation du MID et aux pertes comptables des exercices 2007 et 2008 </t>
  </si>
  <si>
    <t>BCM: capitalisation des intérêts des TCN</t>
  </si>
  <si>
    <t xml:space="preserve">BCM: perte comptable 2011, 2012, 2013 et créances sur cessions des véhicules </t>
  </si>
  <si>
    <t>TOTAL 16118</t>
  </si>
  <si>
    <t xml:space="preserve">BTS : </t>
  </si>
  <si>
    <t>BTS-SPAT</t>
  </si>
  <si>
    <t>BTS- ARO</t>
  </si>
  <si>
    <t>IX- SITUATION ENCOURS DE LA DETTE AU 31 DECEMBRE 2016</t>
  </si>
  <si>
    <t>Bailleurs</t>
  </si>
  <si>
    <t>NI</t>
  </si>
  <si>
    <t>TOTAL 1621</t>
  </si>
  <si>
    <t>E 12-MG Prg de formation prof et d'amélioration de la productivité agricole</t>
  </si>
  <si>
    <t>I 874-MG Prg de formation prof et d'amélioration de la productivité agricole</t>
  </si>
  <si>
    <t>(PAPI-USD) PROJ D'APPUI PROM INVEST (5900 1500 00501)</t>
  </si>
  <si>
    <t>FIN PROJ D'APPUI PROM INVEST (2100 1500 33394)</t>
  </si>
  <si>
    <t>PROJ JEUNES E/SES RUR MOYEN OUEST (2100 1500 33793)</t>
  </si>
  <si>
    <t>PROJ JEUNES E/SES RUR MOYEN OUEST (5900 1500 00551)</t>
  </si>
  <si>
    <t>5752-MG Opération de Politique de Dvpt de Résilience</t>
  </si>
  <si>
    <t>5773-0MG (PAGOSE) PJT AMELIORATION DE LA GOUVERNANCE ET OPERAT DU SECTEUR DE L'ELECTRICITE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</si>
</sst>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  <numFmt numFmtId="165" formatCode="_-* #,##0.00\ _F_-;\-* #,##0.00\ _F_-;_-* &quot;-&quot;??\ _F_-;_-@_-"/>
    <numFmt numFmtId="166" formatCode="0.0000"/>
    <numFmt numFmtId="167" formatCode="_([$€]* #,##0.00_);_([$€]* \(#,##0.00\);_([$€]* &quot;-&quot;??_);_(@_)"/>
    <numFmt numFmtId="168" formatCode="#,##0\ &quot;F&quot;;\-#,##0\ &quot;F&quot;"/>
    <numFmt numFmtId="169" formatCode="_-* #,##0.000\ _€_-;\-* #,##0.000\ _€_-;_-* &quot;-&quot;??\ _€_-;_-@_-"/>
    <numFmt numFmtId="170" formatCode="dd/mm/yy;@"/>
    <numFmt numFmtId="171" formatCode="0_ ;\-0\ "/>
    <numFmt numFmtId="172" formatCode="#,##0.00\ _€"/>
  </numFmts>
  <fonts count="50"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Helvetica"/>
      <family val="2"/>
    </font>
    <font>
      <sz val="8"/>
      <name val="Tahoma"/>
      <family val="2"/>
    </font>
    <font>
      <sz val="9"/>
      <name val="Arial Narrow"/>
      <family val="2"/>
    </font>
    <font>
      <sz val="8"/>
      <color indexed="8"/>
      <name val="Arial"/>
      <family val="2"/>
    </font>
    <font>
      <sz val="10"/>
      <name val="Arial Narrow"/>
      <family val="2"/>
    </font>
    <font>
      <b/>
      <u val="single"/>
      <sz val="8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hair"/>
      <right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/>
      <top style="thin"/>
      <bottom/>
    </border>
  </borders>
  <cellStyleXfs count="1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167" fontId="7" fillId="0" borderId="0" applyFont="0" applyFill="0" applyBorder="0" applyAlignment="0" applyProtection="0"/>
    <xf numFmtId="0" fontId="39" fillId="29" borderId="0" applyNumberFormat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20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 quotePrefix="1">
      <alignment horizontal="center"/>
    </xf>
    <xf numFmtId="0" fontId="2" fillId="0" borderId="1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66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46" applyNumberFormat="1" applyFont="1" applyFill="1" applyBorder="1" applyAlignment="1">
      <alignment/>
    </xf>
    <xf numFmtId="43" fontId="2" fillId="0" borderId="0" xfId="46" applyFont="1" applyFill="1" applyBorder="1" applyAlignment="1">
      <alignment/>
    </xf>
    <xf numFmtId="43" fontId="2" fillId="0" borderId="0" xfId="46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46" applyNumberFormat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" fontId="4" fillId="0" borderId="10" xfId="46" applyNumberFormat="1" applyFont="1" applyFill="1" applyBorder="1" applyAlignment="1">
      <alignment horizontal="center"/>
    </xf>
    <xf numFmtId="4" fontId="4" fillId="0" borderId="10" xfId="148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13" xfId="46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0" xfId="148" applyNumberFormat="1" applyFont="1" applyFill="1" applyBorder="1">
      <alignment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quotePrefix="1">
      <alignment horizontal="center"/>
    </xf>
    <xf numFmtId="0" fontId="4" fillId="0" borderId="10" xfId="0" applyFont="1" applyFill="1" applyBorder="1" applyAlignment="1">
      <alignment/>
    </xf>
    <xf numFmtId="4" fontId="4" fillId="0" borderId="13" xfId="46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4" fillId="0" borderId="10" xfId="148" applyNumberFormat="1" applyFont="1" applyFill="1" applyBorder="1">
      <alignment/>
      <protection/>
    </xf>
    <xf numFmtId="0" fontId="4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4" fontId="4" fillId="0" borderId="14" xfId="46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4" fontId="4" fillId="0" borderId="14" xfId="148" applyNumberFormat="1" applyFont="1" applyFill="1" applyBorder="1">
      <alignment/>
      <protection/>
    </xf>
    <xf numFmtId="0" fontId="2" fillId="0" borderId="1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" fontId="2" fillId="0" borderId="17" xfId="46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2" fillId="0" borderId="15" xfId="148" applyNumberFormat="1" applyFont="1" applyFill="1" applyBorder="1">
      <alignment/>
      <protection/>
    </xf>
    <xf numFmtId="0" fontId="2" fillId="0" borderId="18" xfId="0" applyFont="1" applyFill="1" applyBorder="1" applyAlignment="1">
      <alignment horizontal="center"/>
    </xf>
    <xf numFmtId="4" fontId="2" fillId="0" borderId="19" xfId="46" applyNumberFormat="1" applyFont="1" applyFill="1" applyBorder="1" applyAlignment="1">
      <alignment/>
    </xf>
    <xf numFmtId="4" fontId="2" fillId="0" borderId="10" xfId="46" applyNumberFormat="1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4" fontId="2" fillId="0" borderId="13" xfId="148" applyNumberFormat="1" applyFont="1" applyFill="1" applyBorder="1">
      <alignment/>
      <protection/>
    </xf>
    <xf numFmtId="0" fontId="4" fillId="0" borderId="15" xfId="0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4" fillId="0" borderId="15" xfId="46" applyNumberFormat="1" applyFont="1" applyFill="1" applyBorder="1" applyAlignment="1">
      <alignment/>
    </xf>
    <xf numFmtId="4" fontId="4" fillId="0" borderId="15" xfId="148" applyNumberFormat="1" applyFont="1" applyFill="1" applyBorder="1">
      <alignment/>
      <protection/>
    </xf>
    <xf numFmtId="0" fontId="2" fillId="0" borderId="11" xfId="0" applyFont="1" applyFill="1" applyBorder="1" applyAlignment="1">
      <alignment/>
    </xf>
    <xf numFmtId="14" fontId="2" fillId="0" borderId="11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4" fontId="4" fillId="0" borderId="10" xfId="46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4" fontId="2" fillId="0" borderId="14" xfId="46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4" xfId="148" applyNumberFormat="1" applyFont="1" applyFill="1" applyBorder="1">
      <alignment/>
      <protection/>
    </xf>
    <xf numFmtId="165" fontId="2" fillId="0" borderId="10" xfId="92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left"/>
    </xf>
    <xf numFmtId="166" fontId="2" fillId="0" borderId="14" xfId="0" applyNumberFormat="1" applyFont="1" applyFill="1" applyBorder="1" applyAlignment="1">
      <alignment/>
    </xf>
    <xf numFmtId="166" fontId="2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4" fontId="4" fillId="0" borderId="0" xfId="46" applyNumberFormat="1" applyFont="1" applyFill="1" applyBorder="1" applyAlignment="1">
      <alignment/>
    </xf>
    <xf numFmtId="43" fontId="4" fillId="0" borderId="0" xfId="46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left"/>
    </xf>
    <xf numFmtId="0" fontId="4" fillId="0" borderId="22" xfId="0" applyFont="1" applyFill="1" applyBorder="1" applyAlignment="1">
      <alignment/>
    </xf>
    <xf numFmtId="4" fontId="4" fillId="0" borderId="19" xfId="46" applyNumberFormat="1" applyFont="1" applyFill="1" applyBorder="1" applyAlignment="1">
      <alignment wrapText="1"/>
    </xf>
    <xf numFmtId="4" fontId="4" fillId="0" borderId="19" xfId="46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left" wrapText="1"/>
    </xf>
    <xf numFmtId="4" fontId="4" fillId="0" borderId="10" xfId="148" applyNumberFormat="1" applyFont="1" applyFill="1" applyBorder="1" applyAlignment="1">
      <alignment horizontal="center" wrapText="1"/>
      <protection/>
    </xf>
    <xf numFmtId="43" fontId="4" fillId="0" borderId="0" xfId="0" applyNumberFormat="1" applyFont="1" applyFill="1" applyBorder="1" applyAlignment="1">
      <alignment horizontal="center"/>
    </xf>
    <xf numFmtId="171" fontId="4" fillId="0" borderId="10" xfId="46" applyNumberFormat="1" applyFont="1" applyFill="1" applyBorder="1" applyAlignment="1">
      <alignment horizontal="center"/>
    </xf>
    <xf numFmtId="17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170" fontId="2" fillId="0" borderId="20" xfId="0" applyNumberFormat="1" applyFont="1" applyFill="1" applyBorder="1" applyAlignment="1">
      <alignment horizontal="center"/>
    </xf>
    <xf numFmtId="170" fontId="2" fillId="0" borderId="11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43" fontId="2" fillId="0" borderId="10" xfId="0" applyNumberFormat="1" applyFont="1" applyFill="1" applyBorder="1" applyAlignment="1">
      <alignment horizontal="right" wrapText="1"/>
    </xf>
    <xf numFmtId="4" fontId="10" fillId="0" borderId="10" xfId="0" applyNumberFormat="1" applyFont="1" applyFill="1" applyBorder="1" applyAlignment="1">
      <alignment/>
    </xf>
    <xf numFmtId="170" fontId="2" fillId="0" borderId="13" xfId="0" applyNumberFormat="1" applyFont="1" applyFill="1" applyBorder="1" applyAlignment="1">
      <alignment horizontal="center"/>
    </xf>
    <xf numFmtId="170" fontId="2" fillId="0" borderId="23" xfId="0" applyNumberFormat="1" applyFont="1" applyFill="1" applyBorder="1" applyAlignment="1">
      <alignment horizontal="center"/>
    </xf>
    <xf numFmtId="4" fontId="4" fillId="0" borderId="0" xfId="148" applyNumberFormat="1" applyFont="1" applyFill="1" applyBorder="1">
      <alignment/>
      <protection/>
    </xf>
    <xf numFmtId="4" fontId="16" fillId="0" borderId="10" xfId="116" applyNumberFormat="1" applyFont="1" applyFill="1" applyBorder="1">
      <alignment/>
      <protection/>
    </xf>
    <xf numFmtId="4" fontId="16" fillId="0" borderId="10" xfId="119" applyNumberFormat="1" applyFont="1" applyFill="1" applyBorder="1">
      <alignment/>
      <protection/>
    </xf>
    <xf numFmtId="172" fontId="2" fillId="0" borderId="10" xfId="0" applyNumberFormat="1" applyFont="1" applyFill="1" applyBorder="1" applyAlignment="1">
      <alignment horizontal="center"/>
    </xf>
    <xf numFmtId="43" fontId="2" fillId="0" borderId="0" xfId="0" applyNumberFormat="1" applyFont="1" applyFill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12" xfId="46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2" fillId="0" borderId="12" xfId="148" applyNumberFormat="1" applyFont="1" applyFill="1" applyBorder="1">
      <alignment/>
      <protection/>
    </xf>
    <xf numFmtId="4" fontId="2" fillId="0" borderId="0" xfId="0" applyNumberFormat="1" applyFont="1" applyFill="1" applyAlignment="1">
      <alignment/>
    </xf>
    <xf numFmtId="4" fontId="2" fillId="0" borderId="18" xfId="46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170" fontId="4" fillId="0" borderId="10" xfId="0" applyNumberFormat="1" applyFont="1" applyFill="1" applyBorder="1" applyAlignment="1">
      <alignment horizontal="center"/>
    </xf>
    <xf numFmtId="170" fontId="2" fillId="0" borderId="23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170" fontId="2" fillId="0" borderId="10" xfId="0" applyNumberFormat="1" applyFont="1" applyFill="1" applyBorder="1" applyAlignment="1" quotePrefix="1">
      <alignment horizontal="center"/>
    </xf>
    <xf numFmtId="170" fontId="2" fillId="0" borderId="0" xfId="0" applyNumberFormat="1" applyFont="1" applyFill="1" applyBorder="1" applyAlignment="1" quotePrefix="1">
      <alignment horizontal="center"/>
    </xf>
    <xf numFmtId="0" fontId="2" fillId="0" borderId="24" xfId="0" applyFont="1" applyFill="1" applyBorder="1" applyAlignment="1">
      <alignment/>
    </xf>
    <xf numFmtId="170" fontId="2" fillId="0" borderId="10" xfId="0" applyNumberFormat="1" applyFont="1" applyFill="1" applyBorder="1" applyAlignment="1">
      <alignment horizontal="center" vertical="top"/>
    </xf>
    <xf numFmtId="4" fontId="2" fillId="0" borderId="0" xfId="148" applyNumberFormat="1" applyFont="1" applyFill="1" applyBorder="1">
      <alignment/>
      <protection/>
    </xf>
    <xf numFmtId="49" fontId="2" fillId="0" borderId="0" xfId="46" applyNumberFormat="1" applyFont="1" applyFill="1" applyBorder="1" applyAlignment="1">
      <alignment/>
    </xf>
    <xf numFmtId="4" fontId="4" fillId="0" borderId="13" xfId="148" applyNumberFormat="1" applyFont="1" applyFill="1" applyBorder="1">
      <alignment/>
      <protection/>
    </xf>
    <xf numFmtId="170" fontId="4" fillId="0" borderId="2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0" fontId="4" fillId="0" borderId="15" xfId="0" applyNumberFormat="1" applyFont="1" applyFill="1" applyBorder="1" applyAlignment="1">
      <alignment horizontal="center" vertical="center" wrapText="1"/>
    </xf>
    <xf numFmtId="0" fontId="8" fillId="0" borderId="25" xfId="146" applyFont="1" applyFill="1" applyBorder="1" applyAlignment="1">
      <alignment horizontal="center"/>
      <protection/>
    </xf>
    <xf numFmtId="0" fontId="8" fillId="0" borderId="10" xfId="146" applyFont="1" applyFill="1" applyBorder="1">
      <alignment/>
      <protection/>
    </xf>
    <xf numFmtId="0" fontId="6" fillId="0" borderId="12" xfId="146" applyFont="1" applyFill="1" applyBorder="1">
      <alignment/>
      <protection/>
    </xf>
    <xf numFmtId="0" fontId="6" fillId="0" borderId="10" xfId="146" applyFont="1" applyFill="1" applyBorder="1">
      <alignment/>
      <protection/>
    </xf>
    <xf numFmtId="14" fontId="6" fillId="0" borderId="12" xfId="146" applyNumberFormat="1" applyFont="1" applyFill="1" applyBorder="1" applyAlignment="1">
      <alignment horizontal="center"/>
      <protection/>
    </xf>
    <xf numFmtId="0" fontId="6" fillId="0" borderId="25" xfId="146" applyFont="1" applyFill="1" applyBorder="1">
      <alignment/>
      <protection/>
    </xf>
    <xf numFmtId="4" fontId="6" fillId="0" borderId="25" xfId="146" applyNumberFormat="1" applyFont="1" applyFill="1" applyBorder="1">
      <alignment/>
      <protection/>
    </xf>
    <xf numFmtId="4" fontId="4" fillId="0" borderId="25" xfId="147" applyNumberFormat="1" applyFont="1" applyFill="1" applyBorder="1">
      <alignment/>
      <protection/>
    </xf>
    <xf numFmtId="0" fontId="2" fillId="0" borderId="0" xfId="147" applyFont="1" applyFill="1" applyBorder="1">
      <alignment/>
      <protection/>
    </xf>
    <xf numFmtId="43" fontId="2" fillId="0" borderId="0" xfId="91" applyFont="1" applyFill="1" applyBorder="1" applyAlignment="1">
      <alignment/>
    </xf>
    <xf numFmtId="43" fontId="13" fillId="0" borderId="0" xfId="91" applyFont="1" applyFill="1" applyBorder="1" applyAlignment="1">
      <alignment/>
    </xf>
    <xf numFmtId="0" fontId="6" fillId="0" borderId="0" xfId="146" applyFont="1" applyFill="1" applyBorder="1">
      <alignment/>
      <protection/>
    </xf>
    <xf numFmtId="14" fontId="6" fillId="0" borderId="0" xfId="146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vertical="top" wrapText="1"/>
    </xf>
    <xf numFmtId="0" fontId="14" fillId="0" borderId="26" xfId="0" applyFont="1" applyFill="1" applyBorder="1" applyAlignment="1">
      <alignment horizontal="center"/>
    </xf>
    <xf numFmtId="0" fontId="6" fillId="0" borderId="11" xfId="146" applyFont="1" applyFill="1" applyBorder="1">
      <alignment/>
      <protection/>
    </xf>
    <xf numFmtId="14" fontId="6" fillId="0" borderId="11" xfId="146" applyNumberFormat="1" applyFont="1" applyFill="1" applyBorder="1" applyAlignment="1">
      <alignment horizontal="center"/>
      <protection/>
    </xf>
    <xf numFmtId="0" fontId="14" fillId="0" borderId="27" xfId="0" applyFont="1" applyFill="1" applyBorder="1" applyAlignment="1">
      <alignment horizontal="center"/>
    </xf>
    <xf numFmtId="4" fontId="4" fillId="0" borderId="10" xfId="147" applyNumberFormat="1" applyFont="1" applyFill="1" applyBorder="1">
      <alignment/>
      <protection/>
    </xf>
    <xf numFmtId="0" fontId="4" fillId="0" borderId="0" xfId="147" applyFont="1" applyFill="1" applyBorder="1" applyAlignment="1">
      <alignment horizontal="left"/>
      <protection/>
    </xf>
    <xf numFmtId="0" fontId="2" fillId="0" borderId="0" xfId="147" applyFont="1" applyFill="1" applyBorder="1" applyAlignment="1">
      <alignment horizontal="left"/>
      <protection/>
    </xf>
    <xf numFmtId="0" fontId="2" fillId="0" borderId="10" xfId="147" applyFont="1" applyFill="1" applyBorder="1" applyAlignment="1">
      <alignment horizontal="left"/>
      <protection/>
    </xf>
    <xf numFmtId="14" fontId="2" fillId="0" borderId="0" xfId="147" applyNumberFormat="1" applyFont="1" applyFill="1" applyBorder="1" applyAlignment="1">
      <alignment horizontal="center"/>
      <protection/>
    </xf>
    <xf numFmtId="43" fontId="4" fillId="0" borderId="10" xfId="46" applyFont="1" applyFill="1" applyBorder="1" applyAlignment="1">
      <alignment/>
    </xf>
    <xf numFmtId="0" fontId="14" fillId="0" borderId="15" xfId="0" applyFont="1" applyFill="1" applyBorder="1" applyAlignment="1">
      <alignment horizontal="center"/>
    </xf>
    <xf numFmtId="0" fontId="15" fillId="0" borderId="0" xfId="147" applyFont="1" applyFill="1" applyBorder="1" applyAlignment="1">
      <alignment horizontal="center"/>
      <protection/>
    </xf>
    <xf numFmtId="0" fontId="4" fillId="0" borderId="0" xfId="147" applyFont="1" applyFill="1" applyBorder="1">
      <alignment/>
      <protection/>
    </xf>
    <xf numFmtId="0" fontId="4" fillId="0" borderId="10" xfId="147" applyFont="1" applyFill="1" applyBorder="1" applyAlignment="1">
      <alignment horizontal="left"/>
      <protection/>
    </xf>
    <xf numFmtId="0" fontId="8" fillId="0" borderId="19" xfId="146" applyFont="1" applyFill="1" applyBorder="1">
      <alignment/>
      <protection/>
    </xf>
    <xf numFmtId="170" fontId="2" fillId="0" borderId="19" xfId="0" applyNumberFormat="1" applyFont="1" applyFill="1" applyBorder="1" applyAlignment="1">
      <alignment horizontal="center"/>
    </xf>
    <xf numFmtId="170" fontId="4" fillId="0" borderId="19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0" fontId="15" fillId="0" borderId="0" xfId="147" applyFont="1" applyFill="1" applyBorder="1" applyAlignment="1">
      <alignment horizontal="center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8" xfId="46" applyNumberFormat="1" applyFont="1" applyFill="1" applyBorder="1" applyAlignment="1">
      <alignment horizontal="center"/>
    </xf>
    <xf numFmtId="4" fontId="4" fillId="0" borderId="14" xfId="46" applyNumberFormat="1" applyFont="1" applyFill="1" applyBorder="1" applyAlignment="1">
      <alignment horizontal="center"/>
    </xf>
    <xf numFmtId="170" fontId="4" fillId="0" borderId="13" xfId="0" applyNumberFormat="1" applyFont="1" applyFill="1" applyBorder="1" applyAlignment="1">
      <alignment horizontal="center" vertical="center" wrapText="1"/>
    </xf>
    <xf numFmtId="170" fontId="4" fillId="0" borderId="15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wrapText="1"/>
    </xf>
    <xf numFmtId="4" fontId="4" fillId="0" borderId="18" xfId="0" applyNumberFormat="1" applyFont="1" applyFill="1" applyBorder="1" applyAlignment="1">
      <alignment horizontal="center" wrapText="1"/>
    </xf>
    <xf numFmtId="4" fontId="4" fillId="0" borderId="19" xfId="0" applyNumberFormat="1" applyFont="1" applyFill="1" applyBorder="1" applyAlignment="1">
      <alignment horizontal="center" wrapText="1"/>
    </xf>
    <xf numFmtId="0" fontId="8" fillId="0" borderId="13" xfId="146" applyFont="1" applyFill="1" applyBorder="1" applyAlignment="1">
      <alignment horizontal="center" vertical="center"/>
      <protection/>
    </xf>
    <xf numFmtId="0" fontId="8" fillId="0" borderId="28" xfId="146" applyFont="1" applyFill="1" applyBorder="1" applyAlignment="1">
      <alignment horizontal="center" vertical="center"/>
      <protection/>
    </xf>
    <xf numFmtId="0" fontId="8" fillId="0" borderId="15" xfId="146" applyFont="1" applyFill="1" applyBorder="1" applyAlignment="1">
      <alignment horizontal="center" vertical="center"/>
      <protection/>
    </xf>
    <xf numFmtId="0" fontId="12" fillId="0" borderId="13" xfId="146" applyFont="1" applyFill="1" applyBorder="1" applyAlignment="1">
      <alignment horizontal="center"/>
      <protection/>
    </xf>
    <xf numFmtId="0" fontId="12" fillId="0" borderId="28" xfId="146" applyFont="1" applyFill="1" applyBorder="1" applyAlignment="1">
      <alignment horizontal="center"/>
      <protection/>
    </xf>
    <xf numFmtId="0" fontId="12" fillId="0" borderId="15" xfId="146" applyFont="1" applyFill="1" applyBorder="1" applyAlignment="1">
      <alignment horizontal="center"/>
      <protection/>
    </xf>
    <xf numFmtId="49" fontId="6" fillId="0" borderId="13" xfId="146" applyNumberFormat="1" applyFont="1" applyFill="1" applyBorder="1" applyAlignment="1">
      <alignment horizontal="center"/>
      <protection/>
    </xf>
    <xf numFmtId="49" fontId="6" fillId="0" borderId="28" xfId="146" applyNumberFormat="1" applyFont="1" applyFill="1" applyBorder="1" applyAlignment="1">
      <alignment horizontal="center"/>
      <protection/>
    </xf>
    <xf numFmtId="49" fontId="6" fillId="0" borderId="15" xfId="146" applyNumberFormat="1" applyFont="1" applyFill="1" applyBorder="1" applyAlignment="1">
      <alignment horizontal="center"/>
      <protection/>
    </xf>
    <xf numFmtId="0" fontId="8" fillId="0" borderId="29" xfId="0" applyFont="1" applyFill="1" applyBorder="1" applyAlignment="1">
      <alignment horizontal="center" vertical="top"/>
    </xf>
    <xf numFmtId="0" fontId="8" fillId="0" borderId="22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/>
    </xf>
  </cellXfs>
  <cellStyles count="14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Milliers 10" xfId="48"/>
    <cellStyle name="Milliers 11" xfId="49"/>
    <cellStyle name="Milliers 11 2" xfId="50"/>
    <cellStyle name="Milliers 12" xfId="51"/>
    <cellStyle name="Milliers 13" xfId="52"/>
    <cellStyle name="Milliers 14" xfId="53"/>
    <cellStyle name="Milliers 15" xfId="54"/>
    <cellStyle name="Milliers 16" xfId="55"/>
    <cellStyle name="Milliers 17" xfId="56"/>
    <cellStyle name="Milliers 17 2" xfId="57"/>
    <cellStyle name="Milliers 18" xfId="58"/>
    <cellStyle name="Milliers 19" xfId="59"/>
    <cellStyle name="Milliers 2" xfId="60"/>
    <cellStyle name="Milliers 2 2" xfId="61"/>
    <cellStyle name="Milliers 2 2 2" xfId="62"/>
    <cellStyle name="Milliers 2 2 2 2" xfId="63"/>
    <cellStyle name="Milliers 20" xfId="64"/>
    <cellStyle name="Milliers 21" xfId="65"/>
    <cellStyle name="Milliers 22" xfId="66"/>
    <cellStyle name="Milliers 23" xfId="67"/>
    <cellStyle name="Milliers 24" xfId="68"/>
    <cellStyle name="Milliers 25" xfId="69"/>
    <cellStyle name="Milliers 26" xfId="70"/>
    <cellStyle name="Milliers 26 2" xfId="71"/>
    <cellStyle name="Milliers 27" xfId="72"/>
    <cellStyle name="Milliers 28" xfId="73"/>
    <cellStyle name="Milliers 28 2" xfId="74"/>
    <cellStyle name="Milliers 29" xfId="75"/>
    <cellStyle name="Milliers 3" xfId="76"/>
    <cellStyle name="Milliers 30" xfId="77"/>
    <cellStyle name="Milliers 31" xfId="78"/>
    <cellStyle name="Milliers 32" xfId="79"/>
    <cellStyle name="Milliers 33" xfId="80"/>
    <cellStyle name="Milliers 34" xfId="81"/>
    <cellStyle name="Milliers 35" xfId="82"/>
    <cellStyle name="Milliers 4" xfId="83"/>
    <cellStyle name="Milliers 5" xfId="84"/>
    <cellStyle name="Milliers 6" xfId="85"/>
    <cellStyle name="Milliers 7" xfId="86"/>
    <cellStyle name="Milliers 8" xfId="87"/>
    <cellStyle name="Milliers 8 2" xfId="88"/>
    <cellStyle name="Milliers 9" xfId="89"/>
    <cellStyle name="Milliers 9 2" xfId="90"/>
    <cellStyle name="Milliers_Encours dette 31 12 14 finale" xfId="91"/>
    <cellStyle name="Milliers_Feuil1" xfId="92"/>
    <cellStyle name="Currency" xfId="93"/>
    <cellStyle name="Currency [0]" xfId="94"/>
    <cellStyle name="Neutre" xfId="95"/>
    <cellStyle name="Normal 2" xfId="96"/>
    <cellStyle name="Normal 2 10" xfId="97"/>
    <cellStyle name="Normal 2 2" xfId="98"/>
    <cellStyle name="Normal 2 2 2" xfId="99"/>
    <cellStyle name="Normal 2 3" xfId="100"/>
    <cellStyle name="Normal 2 3 2" xfId="101"/>
    <cellStyle name="Normal 2 4" xfId="102"/>
    <cellStyle name="Normal 2 4 2" xfId="103"/>
    <cellStyle name="Normal 2 5" xfId="104"/>
    <cellStyle name="Normal 2 5 2" xfId="105"/>
    <cellStyle name="Normal 2 6" xfId="106"/>
    <cellStyle name="Normal 2 6 2" xfId="107"/>
    <cellStyle name="Normal 2 7" xfId="108"/>
    <cellStyle name="Normal 2 7 2" xfId="109"/>
    <cellStyle name="Normal 2 8" xfId="110"/>
    <cellStyle name="Normal 2 8 2" xfId="111"/>
    <cellStyle name="Normal 2 9" xfId="112"/>
    <cellStyle name="Normal 2 9 2" xfId="113"/>
    <cellStyle name="Normal 20" xfId="114"/>
    <cellStyle name="Normal 20 2" xfId="115"/>
    <cellStyle name="Normal 20 3" xfId="116"/>
    <cellStyle name="Normal 21" xfId="117"/>
    <cellStyle name="Normal 21 2" xfId="118"/>
    <cellStyle name="Normal 21 3" xfId="119"/>
    <cellStyle name="Normal 3" xfId="120"/>
    <cellStyle name="Normal 3 10" xfId="121"/>
    <cellStyle name="Normal 3 10 2" xfId="122"/>
    <cellStyle name="Normal 3 2" xfId="123"/>
    <cellStyle name="Normal 3 3" xfId="124"/>
    <cellStyle name="Normal 3 3 2" xfId="125"/>
    <cellStyle name="Normal 3 4" xfId="126"/>
    <cellStyle name="Normal 3 4 2" xfId="127"/>
    <cellStyle name="Normal 3 5" xfId="128"/>
    <cellStyle name="Normal 3 5 2" xfId="129"/>
    <cellStyle name="Normal 3 6" xfId="130"/>
    <cellStyle name="Normal 3 6 2" xfId="131"/>
    <cellStyle name="Normal 3 7" xfId="132"/>
    <cellStyle name="Normal 3 7 2" xfId="133"/>
    <cellStyle name="Normal 3 8" xfId="134"/>
    <cellStyle name="Normal 3 8 2" xfId="135"/>
    <cellStyle name="Normal 3 9" xfId="136"/>
    <cellStyle name="Normal 3 9 2" xfId="137"/>
    <cellStyle name="Normal 3_4721121" xfId="138"/>
    <cellStyle name="Normal 4" xfId="139"/>
    <cellStyle name="Normal 5" xfId="140"/>
    <cellStyle name="Normal 6" xfId="141"/>
    <cellStyle name="Normal 6 2" xfId="142"/>
    <cellStyle name="Normal 7" xfId="143"/>
    <cellStyle name="Normal 8" xfId="144"/>
    <cellStyle name="Normal 9" xfId="145"/>
    <cellStyle name="Normal_encours 2013 finale" xfId="146"/>
    <cellStyle name="Normal_Encours dette 31 12 14 finale" xfId="147"/>
    <cellStyle name="Normal_Feuil1" xfId="148"/>
    <cellStyle name="Percent" xfId="149"/>
    <cellStyle name="Satisfaisant" xfId="150"/>
    <cellStyle name="Sortie" xfId="151"/>
    <cellStyle name="Texte explicatif" xfId="152"/>
    <cellStyle name="Titre" xfId="153"/>
    <cellStyle name="Titre 1" xfId="154"/>
    <cellStyle name="Titre 2" xfId="155"/>
    <cellStyle name="Titre 3" xfId="156"/>
    <cellStyle name="Titre 4" xfId="157"/>
    <cellStyle name="Total" xfId="158"/>
    <cellStyle name="Vérification" xfId="1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eur\Mes%20documents\Mirana\1621d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21d2"/>
    </sheetNames>
    <sheetDataSet>
      <sheetData sheetId="0">
        <row r="175">
          <cell r="F175">
            <v>414218024.34</v>
          </cell>
        </row>
        <row r="176">
          <cell r="F176">
            <v>406813988.31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E263"/>
  <sheetViews>
    <sheetView showGridLines="0" tabSelected="1" zoomScalePageLayoutView="0" workbookViewId="0" topLeftCell="A1">
      <pane xSplit="9" ySplit="5" topLeftCell="K244" activePane="bottomRight" state="frozen"/>
      <selection pane="topLeft" activeCell="A1" sqref="A1"/>
      <selection pane="topRight" activeCell="J1" sqref="J1"/>
      <selection pane="bottomLeft" activeCell="A6" sqref="A6"/>
      <selection pane="bottomRight" activeCell="H236" sqref="H236"/>
    </sheetView>
  </sheetViews>
  <sheetFormatPr defaultColWidth="12.57421875" defaultRowHeight="12.75" outlineLevelRow="1"/>
  <cols>
    <col min="1" max="1" width="6.7109375" style="17" customWidth="1"/>
    <col min="2" max="2" width="6.57421875" style="17" hidden="1" customWidth="1"/>
    <col min="3" max="3" width="9.140625" style="17" hidden="1" customWidth="1"/>
    <col min="4" max="4" width="10.28125" style="18" customWidth="1"/>
    <col min="5" max="5" width="5.8515625" style="17" hidden="1" customWidth="1"/>
    <col min="6" max="6" width="9.140625" style="1" customWidth="1"/>
    <col min="7" max="7" width="9.140625" style="104" hidden="1" customWidth="1"/>
    <col min="8" max="8" width="43.28125" style="17" customWidth="1"/>
    <col min="9" max="9" width="6.28125" style="18" customWidth="1"/>
    <col min="10" max="10" width="17.28125" style="20" bestFit="1" customWidth="1"/>
    <col min="11" max="11" width="20.57421875" style="21" customWidth="1"/>
    <col min="12" max="12" width="15.8515625" style="20" customWidth="1"/>
    <col min="13" max="13" width="20.00390625" style="20" customWidth="1"/>
    <col min="14" max="14" width="12.28125" style="20" hidden="1" customWidth="1"/>
    <col min="15" max="15" width="16.8515625" style="20" hidden="1" customWidth="1"/>
    <col min="16" max="16" width="13.140625" style="20" hidden="1" customWidth="1"/>
    <col min="17" max="17" width="1.28515625" style="20" hidden="1" customWidth="1"/>
    <col min="18" max="18" width="14.7109375" style="20" customWidth="1"/>
    <col min="19" max="19" width="14.7109375" style="20" bestFit="1" customWidth="1"/>
    <col min="20" max="20" width="16.57421875" style="20" customWidth="1"/>
    <col min="21" max="21" width="20.8515625" style="20" hidden="1" customWidth="1"/>
    <col min="22" max="22" width="10.7109375" style="20" hidden="1" customWidth="1"/>
    <col min="23" max="23" width="16.7109375" style="20" bestFit="1" customWidth="1"/>
    <col min="24" max="24" width="24.57421875" style="20" hidden="1" customWidth="1"/>
    <col min="25" max="25" width="1.57421875" style="22" hidden="1" customWidth="1"/>
    <col min="26" max="27" width="17.140625" style="21" hidden="1" customWidth="1"/>
    <col min="28" max="29" width="20.8515625" style="22" hidden="1" customWidth="1"/>
    <col min="30" max="30" width="18.7109375" style="17" hidden="1" customWidth="1"/>
    <col min="31" max="31" width="13.8515625" style="17" bestFit="1" customWidth="1"/>
    <col min="32" max="16384" width="12.57421875" style="17" customWidth="1"/>
  </cols>
  <sheetData>
    <row r="1" ht="6" customHeight="1">
      <c r="T1" s="105"/>
    </row>
    <row r="2" spans="2:25" ht="11.25">
      <c r="B2" s="195" t="s">
        <v>570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</row>
    <row r="3" spans="2:25" ht="11.25"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</row>
    <row r="4" spans="1:29" s="99" customFormat="1" ht="22.5" customHeight="1">
      <c r="A4" s="190" t="s">
        <v>0</v>
      </c>
      <c r="B4" s="190"/>
      <c r="C4" s="190" t="s">
        <v>1</v>
      </c>
      <c r="D4" s="190" t="s">
        <v>571</v>
      </c>
      <c r="E4" s="191" t="s">
        <v>2</v>
      </c>
      <c r="F4" s="193" t="s">
        <v>572</v>
      </c>
      <c r="G4" s="199" t="s">
        <v>3</v>
      </c>
      <c r="H4" s="190" t="s">
        <v>4</v>
      </c>
      <c r="I4" s="190" t="s">
        <v>5</v>
      </c>
      <c r="J4" s="194" t="s">
        <v>461</v>
      </c>
      <c r="K4" s="194"/>
      <c r="L4" s="201" t="s">
        <v>462</v>
      </c>
      <c r="M4" s="202"/>
      <c r="N4" s="204" t="s">
        <v>463</v>
      </c>
      <c r="O4" s="204"/>
      <c r="P4" s="205" t="s">
        <v>464</v>
      </c>
      <c r="Q4" s="206"/>
      <c r="R4" s="194" t="s">
        <v>465</v>
      </c>
      <c r="S4" s="194"/>
      <c r="T4" s="194" t="s">
        <v>466</v>
      </c>
      <c r="U4" s="194"/>
      <c r="V4" s="194"/>
      <c r="W4" s="194"/>
      <c r="X4" s="196" t="s">
        <v>467</v>
      </c>
      <c r="Y4" s="106"/>
      <c r="Z4" s="197" t="s">
        <v>468</v>
      </c>
      <c r="AA4" s="198"/>
      <c r="AB4" s="107" t="s">
        <v>469</v>
      </c>
      <c r="AC4" s="108" t="s">
        <v>470</v>
      </c>
    </row>
    <row r="5" spans="1:29" s="99" customFormat="1" ht="25.5" customHeight="1">
      <c r="A5" s="190"/>
      <c r="B5" s="190"/>
      <c r="C5" s="190"/>
      <c r="D5" s="190"/>
      <c r="E5" s="192"/>
      <c r="F5" s="193"/>
      <c r="G5" s="200"/>
      <c r="H5" s="190"/>
      <c r="I5" s="190"/>
      <c r="J5" s="24" t="s">
        <v>6</v>
      </c>
      <c r="K5" s="25" t="s">
        <v>7</v>
      </c>
      <c r="L5" s="24" t="s">
        <v>6</v>
      </c>
      <c r="M5" s="24" t="s">
        <v>7</v>
      </c>
      <c r="N5" s="24" t="s">
        <v>6</v>
      </c>
      <c r="O5" s="24" t="s">
        <v>7</v>
      </c>
      <c r="P5" s="145" t="s">
        <v>6</v>
      </c>
      <c r="Q5" s="145" t="s">
        <v>7</v>
      </c>
      <c r="R5" s="24" t="s">
        <v>6</v>
      </c>
      <c r="S5" s="24" t="s">
        <v>7</v>
      </c>
      <c r="T5" s="24" t="s">
        <v>6</v>
      </c>
      <c r="U5" s="147" t="s">
        <v>7</v>
      </c>
      <c r="V5" s="109" t="s">
        <v>471</v>
      </c>
      <c r="W5" s="110" t="s">
        <v>472</v>
      </c>
      <c r="X5" s="196"/>
      <c r="Y5" s="26"/>
      <c r="Z5" s="111" t="s">
        <v>473</v>
      </c>
      <c r="AA5" s="112">
        <v>4773</v>
      </c>
      <c r="AB5" s="112">
        <v>4773</v>
      </c>
      <c r="AC5" s="112">
        <v>4773</v>
      </c>
    </row>
    <row r="6" spans="1:27" ht="11.25" outlineLevel="1">
      <c r="A6" s="187">
        <v>16111</v>
      </c>
      <c r="B6" s="49"/>
      <c r="C6" s="31"/>
      <c r="D6" s="188"/>
      <c r="E6" s="5"/>
      <c r="F6" s="189"/>
      <c r="G6" s="181"/>
      <c r="H6" s="27" t="s">
        <v>452</v>
      </c>
      <c r="I6" s="5"/>
      <c r="J6" s="36"/>
      <c r="K6" s="57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7"/>
      <c r="X6" s="36"/>
      <c r="Z6" s="19"/>
      <c r="AA6" s="19"/>
    </row>
    <row r="7" spans="1:30" s="19" customFormat="1" ht="11.25" outlineLevel="1">
      <c r="A7" s="187"/>
      <c r="B7" s="146">
        <v>162161</v>
      </c>
      <c r="C7" s="40"/>
      <c r="D7" s="188"/>
      <c r="E7" s="27"/>
      <c r="F7" s="189"/>
      <c r="G7" s="182"/>
      <c r="H7" s="49" t="s">
        <v>453</v>
      </c>
      <c r="I7" s="5" t="s">
        <v>454</v>
      </c>
      <c r="J7" s="36">
        <v>358397084.2</v>
      </c>
      <c r="K7" s="36">
        <v>358397084.2</v>
      </c>
      <c r="L7" s="36"/>
      <c r="N7" s="36"/>
      <c r="O7" s="36"/>
      <c r="P7" s="36"/>
      <c r="Q7" s="36"/>
      <c r="R7" s="36">
        <f>N7+P7</f>
        <v>0</v>
      </c>
      <c r="S7" s="36">
        <f>O7+Q7</f>
        <v>0</v>
      </c>
      <c r="T7" s="36">
        <f>+J7+L7-R7</f>
        <v>358397084.2</v>
      </c>
      <c r="U7" s="36">
        <f>+K7+M6-S7-Z7+AA7</f>
        <v>358397084.2</v>
      </c>
      <c r="V7" s="36">
        <v>1</v>
      </c>
      <c r="W7" s="36">
        <f>+U7</f>
        <v>358397084.2</v>
      </c>
      <c r="X7" s="36">
        <f>+W7-U7-AB7</f>
        <v>0</v>
      </c>
      <c r="Y7" s="36"/>
      <c r="Z7" s="36"/>
      <c r="AA7" s="36"/>
      <c r="AB7" s="36"/>
      <c r="AC7" s="36"/>
      <c r="AD7" s="36"/>
    </row>
    <row r="8" spans="1:30" ht="11.25" outlineLevel="1">
      <c r="A8" s="187"/>
      <c r="B8" s="49"/>
      <c r="C8" s="31">
        <v>162161</v>
      </c>
      <c r="D8" s="188"/>
      <c r="E8" s="31">
        <v>16111</v>
      </c>
      <c r="F8" s="189"/>
      <c r="G8" s="181"/>
      <c r="H8" s="49" t="s">
        <v>455</v>
      </c>
      <c r="I8" s="5" t="s">
        <v>454</v>
      </c>
      <c r="J8" s="36">
        <v>484735687388.4</v>
      </c>
      <c r="K8" s="36">
        <v>484735687388.4</v>
      </c>
      <c r="L8" s="36">
        <v>416219581947.98</v>
      </c>
      <c r="M8" s="36">
        <v>416219581947.98</v>
      </c>
      <c r="N8" s="36"/>
      <c r="O8" s="36"/>
      <c r="P8" s="36"/>
      <c r="Q8" s="36"/>
      <c r="R8" s="36">
        <f>N8+P8</f>
        <v>0</v>
      </c>
      <c r="S8" s="36">
        <f>O8+Q8</f>
        <v>0</v>
      </c>
      <c r="T8" s="36">
        <f>+J8+L8-R8</f>
        <v>900955269336.38</v>
      </c>
      <c r="U8" s="36">
        <f>+K8+M8-S8-Z8+AA8</f>
        <v>900955269336.38</v>
      </c>
      <c r="V8" s="36">
        <v>1</v>
      </c>
      <c r="W8" s="36">
        <f>+U8</f>
        <v>900955269336.38</v>
      </c>
      <c r="X8" s="36">
        <f>+W8-U8-AB8</f>
        <v>0</v>
      </c>
      <c r="Y8" s="36"/>
      <c r="Z8" s="36"/>
      <c r="AA8" s="36"/>
      <c r="AB8" s="36"/>
      <c r="AC8" s="36"/>
      <c r="AD8" s="36"/>
    </row>
    <row r="9" spans="1:30" ht="11.25" outlineLevel="1">
      <c r="A9" s="187"/>
      <c r="B9" s="49"/>
      <c r="C9" s="31"/>
      <c r="D9" s="188"/>
      <c r="E9" s="31"/>
      <c r="F9" s="189"/>
      <c r="G9" s="115"/>
      <c r="H9" s="49" t="s">
        <v>557</v>
      </c>
      <c r="I9" s="5"/>
      <c r="J9" s="36">
        <v>117858000000</v>
      </c>
      <c r="K9" s="36">
        <v>117858000000</v>
      </c>
      <c r="L9" s="36">
        <f>11000000+270470000000+1000000</f>
        <v>270482000000</v>
      </c>
      <c r="M9" s="36">
        <f>11000000+270470000000+1000000</f>
        <v>270482000000</v>
      </c>
      <c r="N9" s="36"/>
      <c r="O9" s="36"/>
      <c r="P9" s="36"/>
      <c r="Q9" s="36"/>
      <c r="R9" s="36">
        <v>71626000000</v>
      </c>
      <c r="S9" s="36">
        <v>71626000000</v>
      </c>
      <c r="T9" s="36">
        <f>+J9+L9-R9</f>
        <v>316714000000</v>
      </c>
      <c r="U9" s="36"/>
      <c r="V9" s="36"/>
      <c r="W9" s="36">
        <f>+K9+M9-S9</f>
        <v>316714000000</v>
      </c>
      <c r="X9" s="36"/>
      <c r="Y9" s="36"/>
      <c r="Z9" s="36"/>
      <c r="AA9" s="36"/>
      <c r="AB9" s="36"/>
      <c r="AC9" s="36"/>
      <c r="AD9" s="36"/>
    </row>
    <row r="10" spans="1:30" ht="11.25" outlineLevel="1">
      <c r="A10" s="187"/>
      <c r="B10" s="49"/>
      <c r="C10" s="31"/>
      <c r="D10" s="188"/>
      <c r="E10" s="31"/>
      <c r="F10" s="189"/>
      <c r="G10" s="115"/>
      <c r="H10" s="49" t="s">
        <v>567</v>
      </c>
      <c r="I10" s="5"/>
      <c r="J10" s="36"/>
      <c r="K10" s="36"/>
      <c r="L10" s="36">
        <f>131120000000+47000000000</f>
        <v>178120000000</v>
      </c>
      <c r="M10" s="36">
        <f>131120000000+47000000000</f>
        <v>178120000000</v>
      </c>
      <c r="N10" s="36"/>
      <c r="O10" s="36"/>
      <c r="P10" s="36"/>
      <c r="Q10" s="36"/>
      <c r="R10" s="36"/>
      <c r="S10" s="36"/>
      <c r="T10" s="36">
        <f>+J10+L10-R10</f>
        <v>178120000000</v>
      </c>
      <c r="U10" s="36"/>
      <c r="V10" s="36"/>
      <c r="W10" s="36">
        <f>+K10+M10-S10</f>
        <v>178120000000</v>
      </c>
      <c r="X10" s="36"/>
      <c r="Y10" s="36"/>
      <c r="Z10" s="36"/>
      <c r="AA10" s="36"/>
      <c r="AB10" s="36"/>
      <c r="AC10" s="36"/>
      <c r="AD10" s="36"/>
    </row>
    <row r="11" spans="2:27" ht="11.25" outlineLevel="1">
      <c r="B11" s="93"/>
      <c r="C11" s="38"/>
      <c r="E11" s="38"/>
      <c r="F11" s="183"/>
      <c r="G11" s="115"/>
      <c r="H11" s="40" t="s">
        <v>456</v>
      </c>
      <c r="I11" s="5"/>
      <c r="J11" s="175">
        <f>SUM(J7:J9)</f>
        <v>602952084472.6</v>
      </c>
      <c r="K11" s="175">
        <f>SUM(K7:K9)</f>
        <v>602952084472.6</v>
      </c>
      <c r="L11" s="15">
        <f>SUM(L7:L10)</f>
        <v>864821581947.98</v>
      </c>
      <c r="M11" s="15">
        <f>SUM(M6:M10)</f>
        <v>864821581947.98</v>
      </c>
      <c r="N11" s="15">
        <f>SUM(N7:N8)</f>
        <v>0</v>
      </c>
      <c r="O11" s="15">
        <f>SUM(O7:O8)</f>
        <v>0</v>
      </c>
      <c r="P11" s="15">
        <f>SUM(P7:P8)</f>
        <v>0</v>
      </c>
      <c r="Q11" s="15">
        <f>SUM(Q7:Q8)</f>
        <v>0</v>
      </c>
      <c r="R11" s="15">
        <f>SUM(R7:R8)</f>
        <v>0</v>
      </c>
      <c r="S11" s="15">
        <f>SUM(S7:S10)</f>
        <v>71626000000</v>
      </c>
      <c r="T11" s="15">
        <f>SUM(T7:T10)</f>
        <v>1396147666420.58</v>
      </c>
      <c r="U11" s="15">
        <f>SUM(U7:U8)</f>
        <v>901313666420.58</v>
      </c>
      <c r="V11" s="15"/>
      <c r="W11" s="15">
        <f>SUM(W7:W10)</f>
        <v>1396147666420.58</v>
      </c>
      <c r="X11" s="15">
        <f>SUM(X7:X8)</f>
        <v>0</v>
      </c>
      <c r="Z11" s="17"/>
      <c r="AA11" s="17"/>
    </row>
    <row r="12" spans="4:29" s="20" customFormat="1" ht="30" customHeight="1">
      <c r="D12" s="18"/>
      <c r="E12" s="17"/>
      <c r="F12" s="1"/>
      <c r="G12" s="104"/>
      <c r="H12" s="17"/>
      <c r="I12" s="18"/>
      <c r="K12" s="21"/>
      <c r="Y12" s="22"/>
      <c r="Z12" s="21"/>
      <c r="AA12" s="21"/>
      <c r="AB12" s="22"/>
      <c r="AC12" s="22"/>
    </row>
    <row r="13" spans="1:29" s="160" customFormat="1" ht="12.75">
      <c r="A13" s="207">
        <v>16118</v>
      </c>
      <c r="B13" s="154"/>
      <c r="C13" s="154"/>
      <c r="D13" s="210"/>
      <c r="E13" s="155"/>
      <c r="F13" s="213"/>
      <c r="G13" s="156"/>
      <c r="H13" s="152" t="s">
        <v>558</v>
      </c>
      <c r="I13" s="157"/>
      <c r="J13" s="158"/>
      <c r="K13" s="158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AA13" s="161"/>
      <c r="AB13" s="161"/>
      <c r="AC13" s="162"/>
    </row>
    <row r="14" spans="1:30" s="160" customFormat="1" ht="22.5">
      <c r="A14" s="208"/>
      <c r="B14" s="163"/>
      <c r="C14" s="163"/>
      <c r="D14" s="211"/>
      <c r="E14" s="155"/>
      <c r="F14" s="214"/>
      <c r="G14" s="164"/>
      <c r="H14" s="165" t="s">
        <v>559</v>
      </c>
      <c r="I14" s="166" t="s">
        <v>454</v>
      </c>
      <c r="J14" s="36">
        <v>222265258051.68</v>
      </c>
      <c r="K14" s="36">
        <v>222265258051.68</v>
      </c>
      <c r="L14" s="36"/>
      <c r="M14" s="36"/>
      <c r="N14" s="36"/>
      <c r="O14" s="36"/>
      <c r="P14" s="36"/>
      <c r="Q14" s="36"/>
      <c r="R14" s="36">
        <v>7408841935.04</v>
      </c>
      <c r="S14" s="36">
        <v>7408841935.04</v>
      </c>
      <c r="T14" s="36">
        <f>-R14+J14+L14</f>
        <v>214856416116.64</v>
      </c>
      <c r="U14" s="36">
        <f>+K14+M14-S14</f>
        <v>214856416116.64</v>
      </c>
      <c r="V14" s="36"/>
      <c r="W14" s="36">
        <f>+K14+M14-S14</f>
        <v>214856416116.64</v>
      </c>
      <c r="X14" s="36"/>
      <c r="Y14" s="36"/>
      <c r="Z14" s="36"/>
      <c r="AA14" s="36"/>
      <c r="AB14" s="36"/>
      <c r="AC14" s="36"/>
      <c r="AD14" s="36"/>
    </row>
    <row r="15" spans="1:30" s="160" customFormat="1" ht="12.75">
      <c r="A15" s="208"/>
      <c r="B15" s="163"/>
      <c r="C15" s="163"/>
      <c r="D15" s="211"/>
      <c r="E15" s="155"/>
      <c r="F15" s="214"/>
      <c r="G15" s="164"/>
      <c r="H15" s="165" t="s">
        <v>560</v>
      </c>
      <c r="I15" s="166" t="s">
        <v>454</v>
      </c>
      <c r="J15" s="36">
        <v>16358880.8</v>
      </c>
      <c r="K15" s="36">
        <v>16358880.8</v>
      </c>
      <c r="L15" s="36"/>
      <c r="M15" s="36"/>
      <c r="N15" s="36"/>
      <c r="O15" s="36"/>
      <c r="P15" s="36"/>
      <c r="Q15" s="36"/>
      <c r="R15" s="36"/>
      <c r="S15" s="36"/>
      <c r="T15" s="36">
        <f aca="true" t="shared" si="0" ref="T15:T22">-R15+J15+L15</f>
        <v>16358880.8</v>
      </c>
      <c r="U15" s="36">
        <f>+K15+M15-S15</f>
        <v>16358880.8</v>
      </c>
      <c r="V15" s="36"/>
      <c r="W15" s="36">
        <f>+U15</f>
        <v>16358880.8</v>
      </c>
      <c r="X15" s="36"/>
      <c r="Y15" s="36"/>
      <c r="Z15" s="36"/>
      <c r="AA15" s="36"/>
      <c r="AB15" s="36"/>
      <c r="AC15" s="36"/>
      <c r="AD15" s="36"/>
    </row>
    <row r="16" spans="1:30" s="160" customFormat="1" ht="12.75">
      <c r="A16" s="208"/>
      <c r="B16" s="163"/>
      <c r="C16" s="163"/>
      <c r="D16" s="211"/>
      <c r="E16" s="155"/>
      <c r="F16" s="214"/>
      <c r="G16" s="164"/>
      <c r="H16" s="165" t="s">
        <v>561</v>
      </c>
      <c r="I16" s="166" t="s">
        <v>454</v>
      </c>
      <c r="J16" s="36">
        <v>589064280</v>
      </c>
      <c r="K16" s="36">
        <v>589064280</v>
      </c>
      <c r="L16" s="36"/>
      <c r="M16" s="36"/>
      <c r="N16" s="36"/>
      <c r="O16" s="36"/>
      <c r="P16" s="36"/>
      <c r="Q16" s="36"/>
      <c r="R16" s="36"/>
      <c r="S16" s="36"/>
      <c r="T16" s="36">
        <f t="shared" si="0"/>
        <v>589064280</v>
      </c>
      <c r="U16" s="36">
        <f>+K16+M16-S16</f>
        <v>589064280</v>
      </c>
      <c r="V16" s="36"/>
      <c r="W16" s="36">
        <f>+U16</f>
        <v>589064280</v>
      </c>
      <c r="X16" s="36"/>
      <c r="Y16" s="36"/>
      <c r="Z16" s="36"/>
      <c r="AA16" s="36"/>
      <c r="AB16" s="36"/>
      <c r="AC16" s="36"/>
      <c r="AD16" s="36"/>
    </row>
    <row r="17" spans="1:30" s="160" customFormat="1" ht="22.5">
      <c r="A17" s="208"/>
      <c r="B17" s="167"/>
      <c r="C17" s="167"/>
      <c r="D17" s="211"/>
      <c r="E17" s="155"/>
      <c r="F17" s="214"/>
      <c r="G17" s="168"/>
      <c r="H17" s="165" t="s">
        <v>562</v>
      </c>
      <c r="I17" s="169" t="s">
        <v>454</v>
      </c>
      <c r="J17" s="36">
        <v>108337777777.76</v>
      </c>
      <c r="K17" s="36">
        <v>108337777777.76</v>
      </c>
      <c r="L17" s="36"/>
      <c r="M17" s="36"/>
      <c r="N17" s="36"/>
      <c r="O17" s="36"/>
      <c r="P17" s="36"/>
      <c r="Q17" s="36"/>
      <c r="R17" s="36">
        <v>3611259259.28</v>
      </c>
      <c r="S17" s="36">
        <v>3611259259.28</v>
      </c>
      <c r="T17" s="36">
        <f t="shared" si="0"/>
        <v>104726518518.48</v>
      </c>
      <c r="U17" s="36">
        <f>+K17+M17-S17</f>
        <v>104726518518.48</v>
      </c>
      <c r="V17" s="36"/>
      <c r="W17" s="36">
        <f>+U17</f>
        <v>104726518518.48</v>
      </c>
      <c r="X17" s="36"/>
      <c r="Y17" s="36"/>
      <c r="Z17" s="36"/>
      <c r="AA17" s="36"/>
      <c r="AB17" s="36"/>
      <c r="AC17" s="36"/>
      <c r="AD17" s="36"/>
    </row>
    <row r="18" spans="1:30" s="160" customFormat="1" ht="33.75">
      <c r="A18" s="208"/>
      <c r="B18" s="163"/>
      <c r="C18" s="163"/>
      <c r="D18" s="211"/>
      <c r="E18" s="155"/>
      <c r="F18" s="214"/>
      <c r="G18" s="164"/>
      <c r="H18" s="165" t="s">
        <v>563</v>
      </c>
      <c r="I18" s="169" t="s">
        <v>454</v>
      </c>
      <c r="J18" s="36">
        <v>189348923267.01</v>
      </c>
      <c r="K18" s="36">
        <v>189348923267.01</v>
      </c>
      <c r="L18" s="36"/>
      <c r="M18" s="36"/>
      <c r="N18" s="36"/>
      <c r="O18" s="36"/>
      <c r="P18" s="36"/>
      <c r="Q18" s="36"/>
      <c r="R18" s="36">
        <v>6311630775.6</v>
      </c>
      <c r="S18" s="36">
        <v>6311630775.6</v>
      </c>
      <c r="T18" s="36">
        <f t="shared" si="0"/>
        <v>183037292491.41</v>
      </c>
      <c r="U18" s="36"/>
      <c r="V18" s="36"/>
      <c r="W18" s="36">
        <f>+K18+M18-S18</f>
        <v>183037292491.41</v>
      </c>
      <c r="X18" s="36"/>
      <c r="Y18" s="36"/>
      <c r="Z18" s="36"/>
      <c r="AA18" s="36"/>
      <c r="AB18" s="36"/>
      <c r="AC18" s="36"/>
      <c r="AD18" s="36"/>
    </row>
    <row r="19" spans="1:30" s="160" customFormat="1" ht="12.75">
      <c r="A19" s="208"/>
      <c r="B19" s="163"/>
      <c r="C19" s="163"/>
      <c r="D19" s="211"/>
      <c r="E19" s="155"/>
      <c r="F19" s="214"/>
      <c r="G19" s="164"/>
      <c r="H19" s="165" t="s">
        <v>564</v>
      </c>
      <c r="I19" s="169" t="s">
        <v>454</v>
      </c>
      <c r="J19" s="36">
        <v>14592211165.38</v>
      </c>
      <c r="K19" s="36">
        <v>14592211165.38</v>
      </c>
      <c r="L19" s="36">
        <f>2273167411.89+107448119548.84</f>
        <v>109721286960.73</v>
      </c>
      <c r="M19" s="36">
        <f>2273167411.89+107448119548.84</f>
        <v>109721286960.73</v>
      </c>
      <c r="N19" s="36"/>
      <c r="O19" s="36"/>
      <c r="P19" s="36"/>
      <c r="Q19" s="36"/>
      <c r="R19" s="36">
        <v>4143783270.88</v>
      </c>
      <c r="S19" s="36">
        <v>4143783270.88</v>
      </c>
      <c r="T19" s="36">
        <f t="shared" si="0"/>
        <v>120169714855.23</v>
      </c>
      <c r="U19" s="36"/>
      <c r="V19" s="36"/>
      <c r="W19" s="36">
        <f>+K19+M19-S19</f>
        <v>120169714855.23</v>
      </c>
      <c r="X19" s="36"/>
      <c r="Y19" s="36"/>
      <c r="Z19" s="36"/>
      <c r="AA19" s="36"/>
      <c r="AB19" s="36"/>
      <c r="AC19" s="36"/>
      <c r="AD19" s="36"/>
    </row>
    <row r="20" spans="1:30" s="160" customFormat="1" ht="22.5">
      <c r="A20" s="208"/>
      <c r="B20" s="172"/>
      <c r="C20" s="172"/>
      <c r="D20" s="211"/>
      <c r="E20" s="173"/>
      <c r="F20" s="214"/>
      <c r="G20" s="174"/>
      <c r="H20" s="165" t="s">
        <v>565</v>
      </c>
      <c r="I20" s="169" t="s">
        <v>454</v>
      </c>
      <c r="J20" s="36">
        <v>215357860069.71</v>
      </c>
      <c r="K20" s="36">
        <v>215357860069.71</v>
      </c>
      <c r="L20" s="36"/>
      <c r="M20" s="36"/>
      <c r="N20" s="36"/>
      <c r="O20" s="36"/>
      <c r="P20" s="36"/>
      <c r="Q20" s="36"/>
      <c r="R20" s="36">
        <v>7178595335.68</v>
      </c>
      <c r="S20" s="36">
        <v>7178595335.68</v>
      </c>
      <c r="T20" s="36">
        <f t="shared" si="0"/>
        <v>208179264734.03</v>
      </c>
      <c r="U20" s="36"/>
      <c r="V20" s="36"/>
      <c r="W20" s="36">
        <f>+K20+M20-S20</f>
        <v>208179264734.03</v>
      </c>
      <c r="X20" s="36"/>
      <c r="Y20" s="36"/>
      <c r="Z20" s="36"/>
      <c r="AA20" s="36"/>
      <c r="AB20" s="36"/>
      <c r="AC20" s="36"/>
      <c r="AD20" s="36"/>
    </row>
    <row r="21" spans="1:30" s="160" customFormat="1" ht="12.75">
      <c r="A21" s="208"/>
      <c r="B21" s="172"/>
      <c r="C21" s="172"/>
      <c r="D21" s="211"/>
      <c r="E21" s="173"/>
      <c r="F21" s="214"/>
      <c r="G21" s="174"/>
      <c r="H21" s="165" t="s">
        <v>568</v>
      </c>
      <c r="I21" s="176"/>
      <c r="J21" s="36"/>
      <c r="K21" s="36"/>
      <c r="L21" s="36">
        <v>50919689452.29</v>
      </c>
      <c r="M21" s="36">
        <v>50919689452.29</v>
      </c>
      <c r="N21" s="36"/>
      <c r="O21" s="36"/>
      <c r="P21" s="36"/>
      <c r="Q21" s="36"/>
      <c r="R21" s="36">
        <v>12729922363.08</v>
      </c>
      <c r="S21" s="36">
        <v>12729922363.08</v>
      </c>
      <c r="T21" s="36">
        <f t="shared" si="0"/>
        <v>38189767089.21</v>
      </c>
      <c r="U21" s="36"/>
      <c r="V21" s="36"/>
      <c r="W21" s="36">
        <f>+K21+M21-S21</f>
        <v>38189767089.21</v>
      </c>
      <c r="X21" s="36"/>
      <c r="Y21" s="36"/>
      <c r="Z21" s="36"/>
      <c r="AA21" s="36"/>
      <c r="AB21" s="36"/>
      <c r="AC21" s="36"/>
      <c r="AD21" s="36"/>
    </row>
    <row r="22" spans="1:30" s="160" customFormat="1" ht="12.75">
      <c r="A22" s="208"/>
      <c r="B22" s="172"/>
      <c r="C22" s="172"/>
      <c r="D22" s="211"/>
      <c r="E22" s="173"/>
      <c r="F22" s="214"/>
      <c r="G22" s="174"/>
      <c r="H22" s="165" t="s">
        <v>569</v>
      </c>
      <c r="I22" s="176"/>
      <c r="J22" s="36"/>
      <c r="K22" s="36"/>
      <c r="L22" s="36">
        <v>61574391021.49</v>
      </c>
      <c r="M22" s="36">
        <v>61574391021.49</v>
      </c>
      <c r="N22" s="36"/>
      <c r="O22" s="36"/>
      <c r="P22" s="36"/>
      <c r="Q22" s="36"/>
      <c r="R22" s="36">
        <v>7513859102.38</v>
      </c>
      <c r="S22" s="36">
        <v>7513859102.38</v>
      </c>
      <c r="T22" s="36">
        <f t="shared" si="0"/>
        <v>54060531919.11</v>
      </c>
      <c r="U22" s="36"/>
      <c r="V22" s="36"/>
      <c r="W22" s="36">
        <f>+K22+M22-S22</f>
        <v>54060531919.11</v>
      </c>
      <c r="X22" s="36"/>
      <c r="Y22" s="36"/>
      <c r="Z22" s="36"/>
      <c r="AA22" s="36"/>
      <c r="AB22" s="36"/>
      <c r="AC22" s="36"/>
      <c r="AD22" s="36"/>
    </row>
    <row r="23" spans="1:30" s="178" customFormat="1" ht="12.75">
      <c r="A23" s="209"/>
      <c r="B23" s="171"/>
      <c r="C23" s="171"/>
      <c r="D23" s="212"/>
      <c r="E23" s="179"/>
      <c r="F23" s="215"/>
      <c r="G23" s="180"/>
      <c r="H23" s="153" t="s">
        <v>566</v>
      </c>
      <c r="I23" s="170"/>
      <c r="J23" s="15">
        <f>SUM(J14:J22)</f>
        <v>750507453492.34</v>
      </c>
      <c r="K23" s="15">
        <f>SUM(K14:K22)</f>
        <v>750507453492.34</v>
      </c>
      <c r="L23" s="15">
        <f>SUM(L14:L22)</f>
        <v>222215367434.51</v>
      </c>
      <c r="M23" s="15">
        <f>SUM(M14:M22)</f>
        <v>222215367434.51</v>
      </c>
      <c r="N23" s="15">
        <f>SUM(N14:N20)</f>
        <v>0</v>
      </c>
      <c r="O23" s="15">
        <f>SUM(O14:O20)</f>
        <v>0</v>
      </c>
      <c r="P23" s="15">
        <f>SUM(P14:P20)</f>
        <v>0</v>
      </c>
      <c r="Q23" s="15">
        <f>SUM(Q14:Q20)</f>
        <v>0</v>
      </c>
      <c r="R23" s="15">
        <f>SUM(R14:R22)</f>
        <v>48897892041.94</v>
      </c>
      <c r="S23" s="15">
        <f>SUM(S14:S22)</f>
        <v>48897892041.94</v>
      </c>
      <c r="T23" s="15">
        <f>SUM(T14:T22)</f>
        <v>923824928884.91</v>
      </c>
      <c r="U23" s="15">
        <f>SUM(U14:U17)</f>
        <v>320188357795.92</v>
      </c>
      <c r="V23" s="15"/>
      <c r="W23" s="15">
        <f>SUM(W14:W22)</f>
        <v>923824928884.91</v>
      </c>
      <c r="X23" s="15"/>
      <c r="Y23" s="15"/>
      <c r="Z23" s="15"/>
      <c r="AA23" s="15"/>
      <c r="AB23" s="15"/>
      <c r="AC23" s="15"/>
      <c r="AD23" s="15"/>
    </row>
    <row r="24" spans="2:25" ht="11.25"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</row>
    <row r="25" ht="8.25" customHeight="1"/>
    <row r="26" spans="1:25" s="99" customFormat="1" ht="13.5" customHeight="1" hidden="1">
      <c r="A26" s="148"/>
      <c r="B26" s="148"/>
      <c r="C26" s="148"/>
      <c r="D26" s="148"/>
      <c r="E26" s="149"/>
      <c r="F26" s="150"/>
      <c r="G26" s="151"/>
      <c r="H26" s="148"/>
      <c r="I26" s="148"/>
      <c r="J26" s="24"/>
      <c r="K26" s="25"/>
      <c r="L26" s="24"/>
      <c r="M26" s="24"/>
      <c r="N26" s="24"/>
      <c r="O26" s="24"/>
      <c r="P26" s="145"/>
      <c r="Q26" s="145"/>
      <c r="R26" s="24"/>
      <c r="S26" s="24"/>
      <c r="T26" s="24"/>
      <c r="U26" s="147"/>
      <c r="V26" s="109"/>
      <c r="W26" s="110"/>
      <c r="X26" s="145"/>
      <c r="Y26" s="26"/>
    </row>
    <row r="27" spans="1:27" ht="12" customHeight="1" outlineLevel="1">
      <c r="A27" s="216">
        <v>1621</v>
      </c>
      <c r="B27" s="146">
        <v>1621318</v>
      </c>
      <c r="C27" s="49"/>
      <c r="D27" s="5"/>
      <c r="E27" s="5" t="s">
        <v>425</v>
      </c>
      <c r="F27" s="3"/>
      <c r="G27" s="113"/>
      <c r="H27" s="27" t="s">
        <v>426</v>
      </c>
      <c r="I27" s="5"/>
      <c r="J27" s="36"/>
      <c r="K27" s="57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7"/>
      <c r="X27" s="36"/>
      <c r="Z27" s="17"/>
      <c r="AA27" s="17"/>
    </row>
    <row r="28" spans="1:27" ht="12" customHeight="1" outlineLevel="1">
      <c r="A28" s="217"/>
      <c r="B28" s="49"/>
      <c r="C28" s="96" t="s">
        <v>474</v>
      </c>
      <c r="D28" s="5" t="s">
        <v>426</v>
      </c>
      <c r="E28" s="5">
        <v>390</v>
      </c>
      <c r="F28" s="3">
        <v>10001405</v>
      </c>
      <c r="G28" s="113">
        <v>39279</v>
      </c>
      <c r="H28" s="114" t="s">
        <v>427</v>
      </c>
      <c r="I28" s="5" t="s">
        <v>428</v>
      </c>
      <c r="J28" s="36">
        <v>1224613.78</v>
      </c>
      <c r="K28" s="57">
        <v>1066614110.1</v>
      </c>
      <c r="L28" s="36"/>
      <c r="M28" s="36"/>
      <c r="N28" s="36">
        <v>610000</v>
      </c>
      <c r="O28" s="36">
        <v>523388803.27</v>
      </c>
      <c r="P28" s="36"/>
      <c r="Q28" s="36"/>
      <c r="R28" s="36">
        <f>+N28+P28</f>
        <v>610000</v>
      </c>
      <c r="S28" s="36">
        <f>+O28+Q28</f>
        <v>523388803.27</v>
      </c>
      <c r="T28" s="36">
        <f>+J28+L28-R28</f>
        <v>614613.78</v>
      </c>
      <c r="U28" s="36">
        <f>+K28+M28-S28-Z28+AA28</f>
        <v>543225306.83</v>
      </c>
      <c r="V28" s="36">
        <v>911.48</v>
      </c>
      <c r="W28" s="37">
        <f>T28*V28</f>
        <v>560208168.19</v>
      </c>
      <c r="X28" s="36">
        <f>+W28-U28-AB28-1</f>
        <v>16982860.36</v>
      </c>
      <c r="Z28" s="17"/>
      <c r="AA28" s="17"/>
    </row>
    <row r="29" spans="1:27" ht="12" customHeight="1" outlineLevel="1">
      <c r="A29" s="217"/>
      <c r="B29" s="49"/>
      <c r="C29" s="97" t="s">
        <v>429</v>
      </c>
      <c r="D29" s="5" t="s">
        <v>426</v>
      </c>
      <c r="E29" s="5" t="s">
        <v>475</v>
      </c>
      <c r="F29" s="3" t="s">
        <v>430</v>
      </c>
      <c r="G29" s="113">
        <v>41963</v>
      </c>
      <c r="H29" s="114" t="s">
        <v>431</v>
      </c>
      <c r="I29" s="5" t="s">
        <v>428</v>
      </c>
      <c r="J29" s="36"/>
      <c r="K29" s="57"/>
      <c r="L29" s="36"/>
      <c r="M29" s="36"/>
      <c r="N29" s="36"/>
      <c r="O29" s="36"/>
      <c r="P29" s="36"/>
      <c r="Q29" s="36"/>
      <c r="R29" s="36">
        <f>+N29+P29</f>
        <v>0</v>
      </c>
      <c r="S29" s="36">
        <f>+O29+Q29</f>
        <v>0</v>
      </c>
      <c r="T29" s="36">
        <f>+J29+L29-R29</f>
        <v>0</v>
      </c>
      <c r="U29" s="36">
        <f>+K29+M29-S29-Z29+AA29</f>
        <v>0</v>
      </c>
      <c r="V29" s="36">
        <v>911.48</v>
      </c>
      <c r="W29" s="37">
        <f>T29*V29</f>
        <v>0</v>
      </c>
      <c r="X29" s="36">
        <f>+W29-U29-AB29</f>
        <v>0</v>
      </c>
      <c r="Z29" s="17"/>
      <c r="AA29" s="17"/>
    </row>
    <row r="30" spans="1:27" ht="12" customHeight="1" outlineLevel="1">
      <c r="A30" s="217"/>
      <c r="C30" s="38"/>
      <c r="E30" s="18"/>
      <c r="F30" s="9"/>
      <c r="G30" s="115"/>
      <c r="H30" s="146" t="s">
        <v>432</v>
      </c>
      <c r="I30" s="5"/>
      <c r="J30" s="15">
        <f>SUM(J28:J29)</f>
        <v>1224613.78</v>
      </c>
      <c r="K30" s="15">
        <f aca="true" t="shared" si="1" ref="K30:U30">SUM(K28:K29)</f>
        <v>1066614110.1</v>
      </c>
      <c r="L30" s="15">
        <f t="shared" si="1"/>
        <v>0</v>
      </c>
      <c r="M30" s="15">
        <f t="shared" si="1"/>
        <v>0</v>
      </c>
      <c r="N30" s="15">
        <f t="shared" si="1"/>
        <v>610000</v>
      </c>
      <c r="O30" s="15">
        <f t="shared" si="1"/>
        <v>523388803.27</v>
      </c>
      <c r="P30" s="15">
        <f t="shared" si="1"/>
        <v>0</v>
      </c>
      <c r="Q30" s="15">
        <f t="shared" si="1"/>
        <v>0</v>
      </c>
      <c r="R30" s="15">
        <f t="shared" si="1"/>
        <v>610000</v>
      </c>
      <c r="S30" s="15">
        <f t="shared" si="1"/>
        <v>523388803.27</v>
      </c>
      <c r="T30" s="15">
        <f t="shared" si="1"/>
        <v>614613.78</v>
      </c>
      <c r="U30" s="15">
        <f t="shared" si="1"/>
        <v>543225306.83</v>
      </c>
      <c r="V30" s="15"/>
      <c r="W30" s="43">
        <f>SUM(W28:W29)</f>
        <v>560208168.19</v>
      </c>
      <c r="X30" s="43">
        <f>SUM(X28:X29)</f>
        <v>16982860.36</v>
      </c>
      <c r="Z30" s="17"/>
      <c r="AA30" s="17"/>
    </row>
    <row r="31" spans="1:27" ht="7.5" customHeight="1" outlineLevel="1">
      <c r="A31" s="217"/>
      <c r="C31" s="38"/>
      <c r="D31" s="76"/>
      <c r="E31" s="76"/>
      <c r="F31" s="11"/>
      <c r="G31" s="116"/>
      <c r="H31" s="66"/>
      <c r="I31" s="45"/>
      <c r="J31" s="78"/>
      <c r="K31" s="77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9"/>
      <c r="X31" s="78"/>
      <c r="Z31" s="17"/>
      <c r="AA31" s="17"/>
    </row>
    <row r="32" spans="1:27" ht="12" customHeight="1" outlineLevel="1">
      <c r="A32" s="217"/>
      <c r="B32" s="146">
        <v>1621102</v>
      </c>
      <c r="C32" s="49"/>
      <c r="D32" s="101"/>
      <c r="E32" s="101"/>
      <c r="F32" s="103"/>
      <c r="G32" s="117"/>
      <c r="H32" s="50" t="s">
        <v>14</v>
      </c>
      <c r="I32" s="51"/>
      <c r="J32" s="36"/>
      <c r="K32" s="52"/>
      <c r="L32" s="36"/>
      <c r="M32" s="36"/>
      <c r="N32" s="36"/>
      <c r="O32" s="53"/>
      <c r="P32" s="53"/>
      <c r="Q32" s="53"/>
      <c r="R32" s="53"/>
      <c r="S32" s="53"/>
      <c r="T32" s="53"/>
      <c r="U32" s="53"/>
      <c r="V32" s="53"/>
      <c r="W32" s="54"/>
      <c r="X32" s="53"/>
      <c r="Z32" s="17"/>
      <c r="AA32" s="17"/>
    </row>
    <row r="33" spans="1:27" ht="12" customHeight="1" outlineLevel="1">
      <c r="A33" s="217"/>
      <c r="B33" s="49"/>
      <c r="C33" s="31" t="s">
        <v>15</v>
      </c>
      <c r="D33" s="5" t="s">
        <v>14</v>
      </c>
      <c r="E33" s="5">
        <v>588</v>
      </c>
      <c r="F33" s="3" t="s">
        <v>16</v>
      </c>
      <c r="G33" s="113">
        <v>32463</v>
      </c>
      <c r="H33" s="49" t="s">
        <v>17</v>
      </c>
      <c r="I33" s="55" t="s">
        <v>9</v>
      </c>
      <c r="J33" s="36">
        <v>414110.9</v>
      </c>
      <c r="K33" s="56">
        <v>1324827732.39</v>
      </c>
      <c r="L33" s="36"/>
      <c r="M33" s="36"/>
      <c r="N33" s="36">
        <v>207055.42</v>
      </c>
      <c r="O33" s="36">
        <v>682637908.36</v>
      </c>
      <c r="P33" s="36"/>
      <c r="Q33" s="36"/>
      <c r="R33" s="36">
        <f aca="true" t="shared" si="2" ref="R33:S45">+N33+P33</f>
        <v>207055.42</v>
      </c>
      <c r="S33" s="36">
        <f t="shared" si="2"/>
        <v>682637908.36</v>
      </c>
      <c r="T33" s="36">
        <f aca="true" t="shared" si="3" ref="T33:T45">+J33+L33-R33</f>
        <v>207055.48</v>
      </c>
      <c r="U33" s="36">
        <f aca="true" t="shared" si="4" ref="U33:U45">+K33+M33-S33-Z33+AA33</f>
        <v>642189824.03</v>
      </c>
      <c r="V33" s="118">
        <v>3347.94</v>
      </c>
      <c r="W33" s="37">
        <f>T33*V33</f>
        <v>693209323.71</v>
      </c>
      <c r="X33" s="36">
        <f aca="true" t="shared" si="5" ref="X33:X45">+W33-U33-AB33</f>
        <v>51019499.68</v>
      </c>
      <c r="Z33" s="17"/>
      <c r="AA33" s="17"/>
    </row>
    <row r="34" spans="1:27" ht="12" customHeight="1" outlineLevel="1">
      <c r="A34" s="217"/>
      <c r="B34" s="49"/>
      <c r="C34" s="31" t="s">
        <v>18</v>
      </c>
      <c r="D34" s="5" t="s">
        <v>14</v>
      </c>
      <c r="E34" s="5">
        <v>768</v>
      </c>
      <c r="F34" s="3" t="s">
        <v>19</v>
      </c>
      <c r="G34" s="113">
        <v>36069</v>
      </c>
      <c r="H34" s="49" t="s">
        <v>20</v>
      </c>
      <c r="I34" s="55" t="s">
        <v>9</v>
      </c>
      <c r="J34" s="36">
        <v>523068.69</v>
      </c>
      <c r="K34" s="56">
        <v>1673406583.73</v>
      </c>
      <c r="L34" s="36"/>
      <c r="M34" s="36"/>
      <c r="N34" s="36">
        <v>261534.3</v>
      </c>
      <c r="O34" s="36">
        <f>'[1]1621d2'!$F$175+'[1]1621d2'!$F$176</f>
        <v>821032012.65</v>
      </c>
      <c r="P34" s="36"/>
      <c r="Q34" s="36"/>
      <c r="R34" s="36">
        <f t="shared" si="2"/>
        <v>261534.3</v>
      </c>
      <c r="S34" s="36">
        <f t="shared" si="2"/>
        <v>821032012.65</v>
      </c>
      <c r="T34" s="36">
        <f t="shared" si="3"/>
        <v>261534.39</v>
      </c>
      <c r="U34" s="36">
        <f t="shared" si="4"/>
        <v>852374571.08</v>
      </c>
      <c r="V34" s="118">
        <v>3347.94</v>
      </c>
      <c r="W34" s="37">
        <f aca="true" t="shared" si="6" ref="W34:W45">T34*V34</f>
        <v>875601445.66</v>
      </c>
      <c r="X34" s="36">
        <f t="shared" si="5"/>
        <v>23226874.58</v>
      </c>
      <c r="Z34" s="17"/>
      <c r="AA34" s="17"/>
    </row>
    <row r="35" spans="1:29" ht="12.75" customHeight="1" outlineLevel="1">
      <c r="A35" s="217"/>
      <c r="B35" s="49"/>
      <c r="C35" s="31" t="s">
        <v>21</v>
      </c>
      <c r="D35" s="5" t="s">
        <v>14</v>
      </c>
      <c r="E35" s="5">
        <v>687</v>
      </c>
      <c r="F35" s="3" t="s">
        <v>22</v>
      </c>
      <c r="G35" s="113">
        <v>34431</v>
      </c>
      <c r="H35" s="49" t="s">
        <v>23</v>
      </c>
      <c r="I35" s="55" t="s">
        <v>9</v>
      </c>
      <c r="J35" s="36">
        <v>1456601.58</v>
      </c>
      <c r="K35" s="56">
        <v>4659974340.75</v>
      </c>
      <c r="L35" s="36"/>
      <c r="M35" s="36"/>
      <c r="N35" s="36">
        <v>526602.9</v>
      </c>
      <c r="O35" s="36">
        <v>1653130907.37</v>
      </c>
      <c r="P35" s="36"/>
      <c r="Q35" s="119"/>
      <c r="R35" s="36">
        <f t="shared" si="2"/>
        <v>526602.9</v>
      </c>
      <c r="S35" s="36">
        <f t="shared" si="2"/>
        <v>1653130907.37</v>
      </c>
      <c r="T35" s="36">
        <f>+J35+L35-R35</f>
        <v>929998.68</v>
      </c>
      <c r="U35" s="36">
        <f t="shared" si="4"/>
        <v>3006843433.38</v>
      </c>
      <c r="V35" s="118">
        <v>3347.94</v>
      </c>
      <c r="W35" s="37">
        <f t="shared" si="6"/>
        <v>3113579780.72</v>
      </c>
      <c r="X35" s="36">
        <f t="shared" si="5"/>
        <v>-31951760</v>
      </c>
      <c r="Z35" s="17"/>
      <c r="AA35" s="17"/>
      <c r="AB35" s="36">
        <v>138688107.34</v>
      </c>
      <c r="AC35" s="36">
        <v>138688107.34</v>
      </c>
    </row>
    <row r="36" spans="1:29" ht="12.75" customHeight="1" outlineLevel="1">
      <c r="A36" s="217"/>
      <c r="B36" s="49"/>
      <c r="C36" s="31" t="s">
        <v>24</v>
      </c>
      <c r="D36" s="5" t="s">
        <v>14</v>
      </c>
      <c r="E36" s="5">
        <v>1108</v>
      </c>
      <c r="F36" s="5" t="s">
        <v>25</v>
      </c>
      <c r="G36" s="113">
        <v>37861</v>
      </c>
      <c r="H36" s="31" t="s">
        <v>26</v>
      </c>
      <c r="I36" s="5" t="s">
        <v>9</v>
      </c>
      <c r="J36" s="36">
        <v>4791393.19</v>
      </c>
      <c r="K36" s="57">
        <v>15328673007.38</v>
      </c>
      <c r="L36" s="36"/>
      <c r="M36" s="36"/>
      <c r="N36" s="36">
        <v>197000</v>
      </c>
      <c r="O36" s="36">
        <v>615516230</v>
      </c>
      <c r="P36" s="36"/>
      <c r="Q36" s="119"/>
      <c r="R36" s="36">
        <f t="shared" si="2"/>
        <v>197000</v>
      </c>
      <c r="S36" s="36">
        <f t="shared" si="2"/>
        <v>615516230</v>
      </c>
      <c r="T36" s="36">
        <f t="shared" si="3"/>
        <v>4594393.19</v>
      </c>
      <c r="U36" s="36">
        <f t="shared" si="4"/>
        <v>14713156777.38</v>
      </c>
      <c r="V36" s="118">
        <v>3347.94</v>
      </c>
      <c r="W36" s="37">
        <f t="shared" si="6"/>
        <v>15381752736.53</v>
      </c>
      <c r="X36" s="36">
        <f t="shared" si="5"/>
        <v>0</v>
      </c>
      <c r="Z36" s="17"/>
      <c r="AA36" s="17"/>
      <c r="AB36" s="36">
        <v>668595959.15</v>
      </c>
      <c r="AC36" s="36">
        <v>668595959.15</v>
      </c>
    </row>
    <row r="37" spans="1:29" ht="12" customHeight="1" outlineLevel="1">
      <c r="A37" s="217"/>
      <c r="B37" s="49"/>
      <c r="C37" s="31" t="s">
        <v>27</v>
      </c>
      <c r="D37" s="5" t="s">
        <v>14</v>
      </c>
      <c r="E37" s="5">
        <v>1037</v>
      </c>
      <c r="F37" s="5" t="s">
        <v>28</v>
      </c>
      <c r="G37" s="113">
        <v>36580</v>
      </c>
      <c r="H37" s="49" t="s">
        <v>29</v>
      </c>
      <c r="I37" s="5" t="s">
        <v>9</v>
      </c>
      <c r="J37" s="36">
        <v>2870704.56</v>
      </c>
      <c r="K37" s="57">
        <v>9183986735.4</v>
      </c>
      <c r="L37" s="36"/>
      <c r="M37" s="36"/>
      <c r="N37" s="36">
        <v>488000</v>
      </c>
      <c r="O37" s="36">
        <v>1527498180</v>
      </c>
      <c r="P37" s="36"/>
      <c r="Q37" s="36"/>
      <c r="R37" s="36">
        <f t="shared" si="2"/>
        <v>488000</v>
      </c>
      <c r="S37" s="36">
        <f t="shared" si="2"/>
        <v>1527498180</v>
      </c>
      <c r="T37" s="36">
        <f t="shared" si="3"/>
        <v>2382704.56</v>
      </c>
      <c r="U37" s="36">
        <f t="shared" si="4"/>
        <v>7656488555.4</v>
      </c>
      <c r="V37" s="118">
        <v>3347.94</v>
      </c>
      <c r="W37" s="37">
        <f t="shared" si="6"/>
        <v>7977151904.61</v>
      </c>
      <c r="X37" s="36">
        <f t="shared" si="5"/>
        <v>0</v>
      </c>
      <c r="Z37" s="17"/>
      <c r="AA37" s="17"/>
      <c r="AB37" s="36">
        <v>320663349.21</v>
      </c>
      <c r="AC37" s="36">
        <v>320663349.21</v>
      </c>
    </row>
    <row r="38" spans="1:29" ht="12" customHeight="1" outlineLevel="1">
      <c r="A38" s="217"/>
      <c r="B38" s="49"/>
      <c r="C38" s="31" t="s">
        <v>30</v>
      </c>
      <c r="D38" s="5" t="s">
        <v>14</v>
      </c>
      <c r="E38" s="5">
        <v>1067</v>
      </c>
      <c r="F38" s="3" t="s">
        <v>31</v>
      </c>
      <c r="G38" s="113">
        <v>37014</v>
      </c>
      <c r="H38" s="49" t="s">
        <v>32</v>
      </c>
      <c r="I38" s="5" t="s">
        <v>9</v>
      </c>
      <c r="J38" s="36">
        <v>11888000</v>
      </c>
      <c r="K38" s="57">
        <v>38032208480</v>
      </c>
      <c r="L38" s="36"/>
      <c r="M38" s="36"/>
      <c r="N38" s="36">
        <v>555000</v>
      </c>
      <c r="O38" s="36">
        <v>1822787250</v>
      </c>
      <c r="P38" s="36"/>
      <c r="Q38" s="36"/>
      <c r="R38" s="36">
        <f t="shared" si="2"/>
        <v>555000</v>
      </c>
      <c r="S38" s="36">
        <f t="shared" si="2"/>
        <v>1822787250</v>
      </c>
      <c r="T38" s="36">
        <f t="shared" si="3"/>
        <v>11333000</v>
      </c>
      <c r="U38" s="36">
        <f t="shared" si="4"/>
        <v>36209421230</v>
      </c>
      <c r="V38" s="118">
        <v>3347.94</v>
      </c>
      <c r="W38" s="37">
        <f t="shared" si="6"/>
        <v>37942204020</v>
      </c>
      <c r="X38" s="36">
        <f t="shared" si="5"/>
        <v>2335230</v>
      </c>
      <c r="Z38" s="17"/>
      <c r="AA38" s="17"/>
      <c r="AB38" s="36">
        <v>1730447560</v>
      </c>
      <c r="AC38" s="36">
        <v>1730447560</v>
      </c>
    </row>
    <row r="39" spans="1:29" ht="12" customHeight="1" outlineLevel="1">
      <c r="A39" s="217"/>
      <c r="B39" s="49"/>
      <c r="C39" s="31" t="s">
        <v>33</v>
      </c>
      <c r="D39" s="5" t="s">
        <v>14</v>
      </c>
      <c r="E39" s="5">
        <v>1069</v>
      </c>
      <c r="F39" s="3" t="s">
        <v>34</v>
      </c>
      <c r="G39" s="113">
        <v>37084</v>
      </c>
      <c r="H39" s="49" t="s">
        <v>35</v>
      </c>
      <c r="I39" s="5" t="s">
        <v>9</v>
      </c>
      <c r="J39" s="36">
        <v>590141.69</v>
      </c>
      <c r="K39" s="57">
        <v>1887987196.06</v>
      </c>
      <c r="L39" s="36"/>
      <c r="M39" s="36"/>
      <c r="N39" s="36">
        <v>28000</v>
      </c>
      <c r="O39" s="36">
        <v>87495520</v>
      </c>
      <c r="P39" s="36"/>
      <c r="Q39" s="36"/>
      <c r="R39" s="36">
        <f t="shared" si="2"/>
        <v>28000</v>
      </c>
      <c r="S39" s="36">
        <f t="shared" si="2"/>
        <v>87495520</v>
      </c>
      <c r="T39" s="36">
        <f t="shared" si="3"/>
        <v>562141.69</v>
      </c>
      <c r="U39" s="36">
        <f t="shared" si="4"/>
        <v>1800491676.06</v>
      </c>
      <c r="V39" s="118">
        <v>3347.94</v>
      </c>
      <c r="W39" s="37">
        <f t="shared" si="6"/>
        <v>1882016649.62</v>
      </c>
      <c r="X39" s="36">
        <f t="shared" si="5"/>
        <v>0</v>
      </c>
      <c r="Z39" s="17"/>
      <c r="AA39" s="17"/>
      <c r="AB39" s="36">
        <v>81524973.56</v>
      </c>
      <c r="AC39" s="36">
        <v>81524973.56</v>
      </c>
    </row>
    <row r="40" spans="1:29" ht="12" customHeight="1" outlineLevel="1">
      <c r="A40" s="217"/>
      <c r="B40" s="49"/>
      <c r="C40" s="31" t="s">
        <v>36</v>
      </c>
      <c r="D40" s="5" t="s">
        <v>14</v>
      </c>
      <c r="E40" s="5">
        <v>1142</v>
      </c>
      <c r="F40" s="3" t="s">
        <v>37</v>
      </c>
      <c r="G40" s="113">
        <v>38540</v>
      </c>
      <c r="H40" s="49" t="s">
        <v>38</v>
      </c>
      <c r="I40" s="5" t="s">
        <v>9</v>
      </c>
      <c r="J40" s="36">
        <v>5580606.26</v>
      </c>
      <c r="K40" s="57">
        <v>17853531353.05</v>
      </c>
      <c r="L40" s="36"/>
      <c r="M40" s="36"/>
      <c r="N40" s="36">
        <v>0</v>
      </c>
      <c r="O40" s="36">
        <v>0</v>
      </c>
      <c r="P40" s="36"/>
      <c r="Q40" s="36"/>
      <c r="R40" s="36">
        <f t="shared" si="2"/>
        <v>0</v>
      </c>
      <c r="S40" s="36">
        <f t="shared" si="2"/>
        <v>0</v>
      </c>
      <c r="T40" s="36">
        <f t="shared" si="3"/>
        <v>5580606.26</v>
      </c>
      <c r="U40" s="36">
        <f t="shared" si="4"/>
        <v>17853531353.05</v>
      </c>
      <c r="V40" s="118">
        <v>3347.94</v>
      </c>
      <c r="W40" s="37">
        <f t="shared" si="6"/>
        <v>18683534922.1</v>
      </c>
      <c r="X40" s="36">
        <f t="shared" si="5"/>
        <v>0</v>
      </c>
      <c r="Z40" s="17"/>
      <c r="AA40" s="17"/>
      <c r="AB40" s="34">
        <v>830003569.05</v>
      </c>
      <c r="AC40" s="34">
        <v>830003569.05</v>
      </c>
    </row>
    <row r="41" spans="1:29" ht="12" customHeight="1" outlineLevel="1">
      <c r="A41" s="217"/>
      <c r="B41" s="49"/>
      <c r="C41" s="31" t="s">
        <v>39</v>
      </c>
      <c r="D41" s="5" t="s">
        <v>14</v>
      </c>
      <c r="E41" s="5">
        <v>1199</v>
      </c>
      <c r="F41" s="3" t="s">
        <v>40</v>
      </c>
      <c r="G41" s="113">
        <v>39072</v>
      </c>
      <c r="H41" s="31" t="s">
        <v>41</v>
      </c>
      <c r="I41" s="5" t="s">
        <v>9</v>
      </c>
      <c r="J41" s="36">
        <v>4963477.13</v>
      </c>
      <c r="K41" s="57">
        <v>15879205669.07</v>
      </c>
      <c r="L41" s="36"/>
      <c r="M41" s="36"/>
      <c r="N41" s="36">
        <v>0</v>
      </c>
      <c r="O41" s="36">
        <v>0</v>
      </c>
      <c r="P41" s="36"/>
      <c r="Q41" s="36"/>
      <c r="R41" s="36">
        <f t="shared" si="2"/>
        <v>0</v>
      </c>
      <c r="S41" s="36">
        <f t="shared" si="2"/>
        <v>0</v>
      </c>
      <c r="T41" s="36">
        <f t="shared" si="3"/>
        <v>4963477.13</v>
      </c>
      <c r="U41" s="36">
        <f t="shared" si="4"/>
        <v>15879205669.07</v>
      </c>
      <c r="V41" s="118">
        <v>3347.94</v>
      </c>
      <c r="W41" s="37">
        <f t="shared" si="6"/>
        <v>16617423622.61</v>
      </c>
      <c r="X41" s="36">
        <f t="shared" si="5"/>
        <v>0</v>
      </c>
      <c r="Z41" s="17"/>
      <c r="AA41" s="17"/>
      <c r="AB41" s="36">
        <v>738217953.54</v>
      </c>
      <c r="AC41" s="36">
        <v>738217953.54</v>
      </c>
    </row>
    <row r="42" spans="1:29" ht="12" customHeight="1" outlineLevel="1">
      <c r="A42" s="217"/>
      <c r="B42" s="33"/>
      <c r="C42" s="58" t="s">
        <v>42</v>
      </c>
      <c r="D42" s="100" t="s">
        <v>14</v>
      </c>
      <c r="E42" s="100">
        <v>1214</v>
      </c>
      <c r="F42" s="102" t="s">
        <v>43</v>
      </c>
      <c r="G42" s="120">
        <v>39363</v>
      </c>
      <c r="H42" s="33" t="s">
        <v>44</v>
      </c>
      <c r="I42" s="100" t="s">
        <v>9</v>
      </c>
      <c r="J42" s="34">
        <v>4035503.75</v>
      </c>
      <c r="K42" s="35">
        <v>12910423952.04</v>
      </c>
      <c r="L42" s="36">
        <v>76512.24</v>
      </c>
      <c r="M42" s="36">
        <v>246207179.06</v>
      </c>
      <c r="N42" s="36">
        <v>0</v>
      </c>
      <c r="O42" s="34">
        <v>0</v>
      </c>
      <c r="P42" s="34"/>
      <c r="Q42" s="34"/>
      <c r="R42" s="34">
        <f t="shared" si="2"/>
        <v>0</v>
      </c>
      <c r="S42" s="34">
        <f>+O42+Q42</f>
        <v>0</v>
      </c>
      <c r="T42" s="34">
        <f t="shared" si="3"/>
        <v>4112015.99</v>
      </c>
      <c r="U42" s="36">
        <f t="shared" si="4"/>
        <v>13156543509.21</v>
      </c>
      <c r="V42" s="118">
        <v>3347.94</v>
      </c>
      <c r="W42" s="59">
        <f t="shared" si="6"/>
        <v>13766782813.56</v>
      </c>
      <c r="X42" s="36">
        <f t="shared" si="5"/>
        <v>108773.22</v>
      </c>
      <c r="Z42" s="22">
        <v>87621.89</v>
      </c>
      <c r="AA42" s="22"/>
      <c r="AB42" s="36">
        <v>610130531.13</v>
      </c>
      <c r="AC42" s="36">
        <v>610130531.13</v>
      </c>
    </row>
    <row r="43" spans="1:29" ht="12" customHeight="1" outlineLevel="1">
      <c r="A43" s="217"/>
      <c r="B43" s="49"/>
      <c r="C43" s="31" t="s">
        <v>45</v>
      </c>
      <c r="D43" s="5" t="s">
        <v>14</v>
      </c>
      <c r="E43" s="5">
        <v>1153</v>
      </c>
      <c r="F43" s="3" t="s">
        <v>46</v>
      </c>
      <c r="G43" s="113">
        <v>38642</v>
      </c>
      <c r="H43" s="49" t="s">
        <v>47</v>
      </c>
      <c r="I43" s="5" t="s">
        <v>9</v>
      </c>
      <c r="J43" s="36">
        <v>8500000</v>
      </c>
      <c r="K43" s="57">
        <v>27193285000</v>
      </c>
      <c r="L43" s="36"/>
      <c r="M43" s="36"/>
      <c r="N43" s="36">
        <v>0</v>
      </c>
      <c r="O43" s="36">
        <v>0</v>
      </c>
      <c r="P43" s="36"/>
      <c r="Q43" s="36"/>
      <c r="R43" s="36">
        <f t="shared" si="2"/>
        <v>0</v>
      </c>
      <c r="S43" s="36">
        <f t="shared" si="2"/>
        <v>0</v>
      </c>
      <c r="T43" s="36">
        <f t="shared" si="3"/>
        <v>8500000</v>
      </c>
      <c r="U43" s="36">
        <f t="shared" si="4"/>
        <v>27193285000</v>
      </c>
      <c r="V43" s="118">
        <v>3347.94</v>
      </c>
      <c r="W43" s="37">
        <f t="shared" si="6"/>
        <v>28457490000</v>
      </c>
      <c r="X43" s="36">
        <f t="shared" si="5"/>
        <v>0</v>
      </c>
      <c r="Z43" s="17"/>
      <c r="AA43" s="17"/>
      <c r="AB43" s="36">
        <v>1264205000</v>
      </c>
      <c r="AC43" s="36">
        <v>1264205000</v>
      </c>
    </row>
    <row r="44" spans="1:27" ht="12" customHeight="1" outlineLevel="1">
      <c r="A44" s="217"/>
      <c r="B44" s="49"/>
      <c r="C44" s="31" t="s">
        <v>48</v>
      </c>
      <c r="D44" s="5" t="s">
        <v>14</v>
      </c>
      <c r="E44" s="5">
        <v>1288</v>
      </c>
      <c r="F44" s="3" t="s">
        <v>49</v>
      </c>
      <c r="G44" s="113">
        <v>41873</v>
      </c>
      <c r="H44" s="49" t="s">
        <v>50</v>
      </c>
      <c r="I44" s="5" t="s">
        <v>9</v>
      </c>
      <c r="J44" s="36"/>
      <c r="K44" s="57"/>
      <c r="L44" s="36">
        <v>78860.56</v>
      </c>
      <c r="M44" s="36">
        <v>240852767.93</v>
      </c>
      <c r="N44" s="36">
        <v>0</v>
      </c>
      <c r="O44" s="36">
        <v>0</v>
      </c>
      <c r="P44" s="36"/>
      <c r="Q44" s="36"/>
      <c r="R44" s="36">
        <f t="shared" si="2"/>
        <v>0</v>
      </c>
      <c r="S44" s="36">
        <f t="shared" si="2"/>
        <v>0</v>
      </c>
      <c r="T44" s="36">
        <f t="shared" si="3"/>
        <v>78860.56</v>
      </c>
      <c r="U44" s="36">
        <f t="shared" si="4"/>
        <v>240852767.93</v>
      </c>
      <c r="V44" s="118">
        <v>3347.94</v>
      </c>
      <c r="W44" s="37">
        <f t="shared" si="6"/>
        <v>264020423.25</v>
      </c>
      <c r="X44" s="36">
        <f t="shared" si="5"/>
        <v>23167655.32</v>
      </c>
      <c r="Z44" s="17"/>
      <c r="AA44" s="17"/>
    </row>
    <row r="45" spans="1:27" ht="12" customHeight="1" outlineLevel="1">
      <c r="A45" s="217"/>
      <c r="B45" s="49"/>
      <c r="C45" s="31" t="s">
        <v>51</v>
      </c>
      <c r="D45" s="5" t="s">
        <v>14</v>
      </c>
      <c r="E45" s="5">
        <v>1298</v>
      </c>
      <c r="F45" s="3" t="s">
        <v>52</v>
      </c>
      <c r="G45" s="113">
        <v>42151</v>
      </c>
      <c r="H45" s="49" t="s">
        <v>53</v>
      </c>
      <c r="I45" s="5" t="s">
        <v>9</v>
      </c>
      <c r="J45" s="36"/>
      <c r="K45" s="57"/>
      <c r="L45" s="36"/>
      <c r="M45" s="36"/>
      <c r="N45" s="36">
        <v>0</v>
      </c>
      <c r="O45" s="36">
        <v>0</v>
      </c>
      <c r="P45" s="36"/>
      <c r="Q45" s="36"/>
      <c r="R45" s="36">
        <f t="shared" si="2"/>
        <v>0</v>
      </c>
      <c r="S45" s="36">
        <f>+O45+Q45</f>
        <v>0</v>
      </c>
      <c r="T45" s="36">
        <f t="shared" si="3"/>
        <v>0</v>
      </c>
      <c r="U45" s="36">
        <f t="shared" si="4"/>
        <v>0</v>
      </c>
      <c r="V45" s="118">
        <v>3347.94</v>
      </c>
      <c r="W45" s="37">
        <f t="shared" si="6"/>
        <v>0</v>
      </c>
      <c r="X45" s="36">
        <f t="shared" si="5"/>
        <v>0</v>
      </c>
      <c r="Z45" s="17"/>
      <c r="AA45" s="17"/>
    </row>
    <row r="46" spans="1:27" ht="12" customHeight="1" outlineLevel="1">
      <c r="A46" s="217"/>
      <c r="D46" s="17"/>
      <c r="G46" s="121"/>
      <c r="H46" s="60" t="s">
        <v>54</v>
      </c>
      <c r="I46" s="101"/>
      <c r="J46" s="61">
        <f>SUM(J33:J45)</f>
        <v>45613607.75</v>
      </c>
      <c r="K46" s="62">
        <f>SUM(K33:K45)</f>
        <v>145927510049.87</v>
      </c>
      <c r="L46" s="15">
        <f>SUM(L33:L45)</f>
        <v>155372.8</v>
      </c>
      <c r="M46" s="15">
        <f aca="true" t="shared" si="7" ref="M46:U46">SUM(M33:M45)</f>
        <v>487059946.99</v>
      </c>
      <c r="N46" s="15">
        <f>SUM(N33:N45)</f>
        <v>2263192.62</v>
      </c>
      <c r="O46" s="61">
        <f t="shared" si="7"/>
        <v>7210098008.38</v>
      </c>
      <c r="P46" s="61">
        <f t="shared" si="7"/>
        <v>0</v>
      </c>
      <c r="Q46" s="61">
        <f t="shared" si="7"/>
        <v>0</v>
      </c>
      <c r="R46" s="61">
        <f t="shared" si="7"/>
        <v>2263192.62</v>
      </c>
      <c r="S46" s="61">
        <f t="shared" si="7"/>
        <v>7210098008.38</v>
      </c>
      <c r="T46" s="61">
        <f t="shared" si="7"/>
        <v>43505787.93</v>
      </c>
      <c r="U46" s="61">
        <f t="shared" si="7"/>
        <v>139204384366.59</v>
      </c>
      <c r="V46" s="61"/>
      <c r="W46" s="63">
        <f>SUM(W33:W45)</f>
        <v>145654767642.37</v>
      </c>
      <c r="X46" s="63">
        <f>SUM(X33:X45)</f>
        <v>67906272.8</v>
      </c>
      <c r="Z46" s="17"/>
      <c r="AA46" s="17"/>
    </row>
    <row r="47" spans="1:27" ht="7.5" customHeight="1" outlineLevel="1">
      <c r="A47" s="217"/>
      <c r="D47" s="64"/>
      <c r="E47" s="64"/>
      <c r="F47" s="6"/>
      <c r="G47" s="116"/>
      <c r="H47" s="44"/>
      <c r="I47" s="45"/>
      <c r="J47" s="47"/>
      <c r="K47" s="46"/>
      <c r="L47" s="47"/>
      <c r="M47" s="47"/>
      <c r="N47" s="47"/>
      <c r="O47" s="47"/>
      <c r="P47" s="47">
        <v>0</v>
      </c>
      <c r="Q47" s="47">
        <v>0</v>
      </c>
      <c r="R47" s="47"/>
      <c r="S47" s="47"/>
      <c r="T47" s="47"/>
      <c r="U47" s="47"/>
      <c r="V47" s="47"/>
      <c r="W47" s="48"/>
      <c r="X47" s="47"/>
      <c r="Z47" s="17"/>
      <c r="AA47" s="17"/>
    </row>
    <row r="48" spans="1:27" ht="12" customHeight="1" outlineLevel="1">
      <c r="A48" s="217"/>
      <c r="B48" s="146">
        <v>16213024</v>
      </c>
      <c r="C48" s="49"/>
      <c r="D48" s="5"/>
      <c r="E48" s="5"/>
      <c r="F48" s="3"/>
      <c r="G48" s="113"/>
      <c r="H48" s="27" t="s">
        <v>433</v>
      </c>
      <c r="I48" s="5"/>
      <c r="J48" s="36"/>
      <c r="K48" s="57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7"/>
      <c r="X48" s="36"/>
      <c r="Z48" s="17"/>
      <c r="AA48" s="17"/>
    </row>
    <row r="49" spans="1:27" ht="12" customHeight="1" outlineLevel="1">
      <c r="A49" s="217"/>
      <c r="B49" s="49"/>
      <c r="C49" s="31" t="s">
        <v>434</v>
      </c>
      <c r="D49" s="5" t="s">
        <v>433</v>
      </c>
      <c r="E49" s="5">
        <v>1211</v>
      </c>
      <c r="F49" s="3" t="s">
        <v>435</v>
      </c>
      <c r="G49" s="113">
        <v>39351</v>
      </c>
      <c r="H49" s="49" t="s">
        <v>436</v>
      </c>
      <c r="I49" s="5" t="s">
        <v>437</v>
      </c>
      <c r="J49" s="36">
        <v>329996520</v>
      </c>
      <c r="K49" s="57">
        <v>162642084847.2</v>
      </c>
      <c r="L49" s="36"/>
      <c r="M49" s="36"/>
      <c r="N49" s="36">
        <v>27499710</v>
      </c>
      <c r="O49" s="36">
        <v>13498979950.18</v>
      </c>
      <c r="P49" s="36"/>
      <c r="Q49" s="36"/>
      <c r="R49" s="36">
        <f>+N49+P49</f>
        <v>27499710</v>
      </c>
      <c r="S49" s="36">
        <f>+O49+Q49</f>
        <v>13498979950.18</v>
      </c>
      <c r="T49" s="36">
        <f>+J49+L49-R49</f>
        <v>302496810</v>
      </c>
      <c r="U49" s="36">
        <f>+K49+M49-S49-Z49+AA49</f>
        <v>149143104897.02</v>
      </c>
      <c r="V49" s="118">
        <v>482.13</v>
      </c>
      <c r="W49" s="37">
        <f>T49*V49</f>
        <v>145842787005.3</v>
      </c>
      <c r="X49" s="36">
        <f>+W49-U49-AB49</f>
        <v>-3300317891.72</v>
      </c>
      <c r="Z49" s="17"/>
      <c r="AA49" s="17"/>
    </row>
    <row r="50" spans="1:27" ht="12" customHeight="1" outlineLevel="1">
      <c r="A50" s="217"/>
      <c r="B50" s="33"/>
      <c r="C50" s="31" t="s">
        <v>438</v>
      </c>
      <c r="D50" s="5" t="s">
        <v>433</v>
      </c>
      <c r="E50" s="5">
        <v>1157</v>
      </c>
      <c r="F50" s="3" t="s">
        <v>439</v>
      </c>
      <c r="G50" s="113">
        <v>38677</v>
      </c>
      <c r="H50" s="49" t="s">
        <v>440</v>
      </c>
      <c r="I50" s="5" t="s">
        <v>437</v>
      </c>
      <c r="J50" s="36">
        <v>27850000</v>
      </c>
      <c r="K50" s="57">
        <v>13726151000</v>
      </c>
      <c r="L50" s="36"/>
      <c r="M50" s="36"/>
      <c r="N50" s="36"/>
      <c r="O50" s="36"/>
      <c r="P50" s="36"/>
      <c r="Q50" s="36"/>
      <c r="R50" s="36">
        <f>+N50+P50</f>
        <v>0</v>
      </c>
      <c r="S50" s="36">
        <f>+O50+Q50</f>
        <v>0</v>
      </c>
      <c r="T50" s="36">
        <f>+J50+L50-R50</f>
        <v>27850000</v>
      </c>
      <c r="U50" s="36">
        <f>+K50+M50-S50-Z50+AA50</f>
        <v>13726151000</v>
      </c>
      <c r="V50" s="118">
        <v>482.13</v>
      </c>
      <c r="W50" s="37">
        <f>T50*V50</f>
        <v>13427320500</v>
      </c>
      <c r="X50" s="36">
        <f>+W50-U50-AB50</f>
        <v>-298830500</v>
      </c>
      <c r="Z50" s="17"/>
      <c r="AA50" s="17"/>
    </row>
    <row r="51" spans="1:27" ht="12" customHeight="1" outlineLevel="1">
      <c r="A51" s="217"/>
      <c r="C51" s="38"/>
      <c r="E51" s="18"/>
      <c r="F51" s="9"/>
      <c r="H51" s="146" t="s">
        <v>441</v>
      </c>
      <c r="I51" s="5"/>
      <c r="J51" s="15">
        <f>SUM(J49:J50)</f>
        <v>357846520</v>
      </c>
      <c r="K51" s="67">
        <f>SUM(K49:K50)</f>
        <v>176368235847.2</v>
      </c>
      <c r="L51" s="15">
        <f aca="true" t="shared" si="8" ref="L51:U51">+SUM(L49:L50)</f>
        <v>0</v>
      </c>
      <c r="M51" s="15">
        <f t="shared" si="8"/>
        <v>0</v>
      </c>
      <c r="N51" s="15">
        <f t="shared" si="8"/>
        <v>27499710</v>
      </c>
      <c r="O51" s="15">
        <f t="shared" si="8"/>
        <v>13498979950.18</v>
      </c>
      <c r="P51" s="15">
        <f t="shared" si="8"/>
        <v>0</v>
      </c>
      <c r="Q51" s="15">
        <f t="shared" si="8"/>
        <v>0</v>
      </c>
      <c r="R51" s="15">
        <f t="shared" si="8"/>
        <v>27499710</v>
      </c>
      <c r="S51" s="15">
        <f t="shared" si="8"/>
        <v>13498979950.18</v>
      </c>
      <c r="T51" s="15">
        <f t="shared" si="8"/>
        <v>330346810</v>
      </c>
      <c r="U51" s="15">
        <f t="shared" si="8"/>
        <v>162869255897.02</v>
      </c>
      <c r="V51" s="15"/>
      <c r="W51" s="43">
        <f>SUM(W49:W50)</f>
        <v>159270107505.3</v>
      </c>
      <c r="X51" s="15">
        <f>+SUM(X49:X50)</f>
        <v>-3599148391.72</v>
      </c>
      <c r="Z51" s="17"/>
      <c r="AA51" s="17"/>
    </row>
    <row r="52" spans="1:27" ht="7.5" customHeight="1" outlineLevel="1">
      <c r="A52" s="217"/>
      <c r="C52" s="38"/>
      <c r="E52" s="18"/>
      <c r="F52" s="9"/>
      <c r="H52" s="93"/>
      <c r="J52" s="98"/>
      <c r="K52" s="91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122"/>
      <c r="X52" s="98"/>
      <c r="Z52" s="17"/>
      <c r="AA52" s="17"/>
    </row>
    <row r="53" spans="1:27" ht="12" customHeight="1" outlineLevel="1">
      <c r="A53" s="217"/>
      <c r="B53" s="146">
        <v>1621106</v>
      </c>
      <c r="C53" s="49"/>
      <c r="D53" s="5"/>
      <c r="E53" s="5"/>
      <c r="F53" s="3"/>
      <c r="G53" s="113"/>
      <c r="H53" s="27" t="s">
        <v>163</v>
      </c>
      <c r="I53" s="5"/>
      <c r="J53" s="36"/>
      <c r="K53" s="57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7"/>
      <c r="X53" s="36"/>
      <c r="Z53" s="17"/>
      <c r="AA53" s="17"/>
    </row>
    <row r="54" spans="1:29" ht="12" customHeight="1" outlineLevel="1">
      <c r="A54" s="217"/>
      <c r="B54" s="49"/>
      <c r="C54" s="31" t="s">
        <v>164</v>
      </c>
      <c r="D54" s="5" t="s">
        <v>165</v>
      </c>
      <c r="E54" s="5">
        <v>383</v>
      </c>
      <c r="F54" s="3" t="s">
        <v>166</v>
      </c>
      <c r="G54" s="113">
        <v>28992</v>
      </c>
      <c r="H54" s="49" t="s">
        <v>167</v>
      </c>
      <c r="I54" s="5" t="s">
        <v>168</v>
      </c>
      <c r="J54" s="36">
        <v>1685146.37</v>
      </c>
      <c r="K54" s="57">
        <v>7488554547.79</v>
      </c>
      <c r="L54" s="36">
        <v>0</v>
      </c>
      <c r="M54" s="36">
        <v>0</v>
      </c>
      <c r="N54" s="36">
        <v>125000</v>
      </c>
      <c r="O54" s="36">
        <v>537069189.44</v>
      </c>
      <c r="P54" s="36"/>
      <c r="Q54" s="36"/>
      <c r="R54" s="36">
        <f aca="true" t="shared" si="9" ref="R54:S69">+N54+P54</f>
        <v>125000</v>
      </c>
      <c r="S54" s="36">
        <f t="shared" si="9"/>
        <v>537069189.44</v>
      </c>
      <c r="T54" s="36">
        <f aca="true" t="shared" si="10" ref="T54:T71">+J54+L54-R54</f>
        <v>1560146.37</v>
      </c>
      <c r="U54" s="36">
        <f aca="true" t="shared" si="11" ref="U54:U73">+K54+M54-S54-Z54+AA54</f>
        <v>6951485358.35</v>
      </c>
      <c r="V54" s="118">
        <v>4486.54</v>
      </c>
      <c r="W54" s="37">
        <f>T54*V54</f>
        <v>6999659094.86</v>
      </c>
      <c r="X54" s="36">
        <f aca="true" t="shared" si="12" ref="X54:X73">+W54-U54-AB54</f>
        <v>0</v>
      </c>
      <c r="Z54" s="17"/>
      <c r="AA54" s="17"/>
      <c r="AB54" s="36">
        <f>+AC54-AA54</f>
        <v>48173736.51</v>
      </c>
      <c r="AC54" s="36">
        <v>48173736.51</v>
      </c>
    </row>
    <row r="55" spans="1:29" ht="12" customHeight="1" outlineLevel="1">
      <c r="A55" s="217"/>
      <c r="B55" s="49"/>
      <c r="C55" s="31" t="s">
        <v>169</v>
      </c>
      <c r="D55" s="5" t="s">
        <v>165</v>
      </c>
      <c r="E55" s="5">
        <v>437</v>
      </c>
      <c r="F55" s="3" t="s">
        <v>170</v>
      </c>
      <c r="G55" s="113">
        <v>30168</v>
      </c>
      <c r="H55" s="49" t="s">
        <v>171</v>
      </c>
      <c r="I55" s="5" t="s">
        <v>168</v>
      </c>
      <c r="J55" s="36">
        <v>1368873.36</v>
      </c>
      <c r="K55" s="57">
        <v>6083081569.57</v>
      </c>
      <c r="L55" s="123">
        <v>0</v>
      </c>
      <c r="M55" s="124">
        <v>0</v>
      </c>
      <c r="N55" s="36">
        <v>85552</v>
      </c>
      <c r="O55" s="36">
        <f>192745548.97+197242952.97</f>
        <v>389988501.94</v>
      </c>
      <c r="P55" s="36"/>
      <c r="Q55" s="36"/>
      <c r="R55" s="36">
        <f t="shared" si="9"/>
        <v>85552</v>
      </c>
      <c r="S55" s="36">
        <f t="shared" si="9"/>
        <v>389988501.94</v>
      </c>
      <c r="T55" s="36">
        <f t="shared" si="10"/>
        <v>1283321.36</v>
      </c>
      <c r="U55" s="36">
        <f t="shared" si="11"/>
        <v>5693093067.63</v>
      </c>
      <c r="V55" s="118">
        <v>4486.54</v>
      </c>
      <c r="W55" s="37">
        <f aca="true" t="shared" si="13" ref="W55:W71">T55*V55</f>
        <v>5757672614.49</v>
      </c>
      <c r="X55" s="36">
        <f t="shared" si="12"/>
        <v>0</v>
      </c>
      <c r="Z55" s="17"/>
      <c r="AA55" s="17"/>
      <c r="AB55" s="36">
        <f aca="true" t="shared" si="14" ref="AB55:AB118">+AC55-AA55</f>
        <v>64579546.86</v>
      </c>
      <c r="AC55" s="36">
        <v>64579546.86</v>
      </c>
    </row>
    <row r="56" spans="1:29" ht="12" customHeight="1" outlineLevel="1">
      <c r="A56" s="217"/>
      <c r="B56" s="49"/>
      <c r="C56" s="31" t="s">
        <v>172</v>
      </c>
      <c r="D56" s="5" t="s">
        <v>165</v>
      </c>
      <c r="E56" s="5">
        <v>452</v>
      </c>
      <c r="F56" s="3" t="s">
        <v>173</v>
      </c>
      <c r="G56" s="113">
        <v>30526</v>
      </c>
      <c r="H56" s="49" t="s">
        <v>174</v>
      </c>
      <c r="I56" s="5" t="s">
        <v>168</v>
      </c>
      <c r="J56" s="36">
        <v>3061004.56</v>
      </c>
      <c r="K56" s="57">
        <v>13602675724</v>
      </c>
      <c r="L56" s="123">
        <v>0</v>
      </c>
      <c r="M56" s="36">
        <v>0</v>
      </c>
      <c r="N56" s="36">
        <v>174914</v>
      </c>
      <c r="O56" s="36">
        <v>749182505.55</v>
      </c>
      <c r="P56" s="36"/>
      <c r="Q56" s="36"/>
      <c r="R56" s="36">
        <f t="shared" si="9"/>
        <v>174914</v>
      </c>
      <c r="S56" s="36">
        <f t="shared" si="9"/>
        <v>749182505.55</v>
      </c>
      <c r="T56" s="36">
        <f t="shared" si="10"/>
        <v>2886090.56</v>
      </c>
      <c r="U56" s="36">
        <f t="shared" si="11"/>
        <v>12853493218.45</v>
      </c>
      <c r="V56" s="118">
        <v>4486.54</v>
      </c>
      <c r="W56" s="37">
        <f t="shared" si="13"/>
        <v>12948560741.06</v>
      </c>
      <c r="X56" s="36">
        <f t="shared" si="12"/>
        <v>0</v>
      </c>
      <c r="Z56" s="17"/>
      <c r="AA56" s="17"/>
      <c r="AB56" s="36">
        <f t="shared" si="14"/>
        <v>95067522.61</v>
      </c>
      <c r="AC56" s="36">
        <v>95067522.61</v>
      </c>
    </row>
    <row r="57" spans="1:29" ht="12" customHeight="1" outlineLevel="1">
      <c r="A57" s="217"/>
      <c r="B57" s="49"/>
      <c r="C57" s="31" t="s">
        <v>175</v>
      </c>
      <c r="D57" s="5" t="s">
        <v>165</v>
      </c>
      <c r="E57" s="5">
        <v>589</v>
      </c>
      <c r="F57" s="3" t="s">
        <v>176</v>
      </c>
      <c r="G57" s="113">
        <v>32534</v>
      </c>
      <c r="H57" s="49" t="s">
        <v>177</v>
      </c>
      <c r="I57" s="5" t="s">
        <v>168</v>
      </c>
      <c r="J57" s="36">
        <v>4102432.75</v>
      </c>
      <c r="K57" s="57">
        <v>18230636800.42</v>
      </c>
      <c r="L57" s="123">
        <v>0</v>
      </c>
      <c r="M57" s="36">
        <v>0</v>
      </c>
      <c r="N57" s="36">
        <v>178364</v>
      </c>
      <c r="O57" s="36">
        <v>780057986.89</v>
      </c>
      <c r="P57" s="36"/>
      <c r="Q57" s="36"/>
      <c r="R57" s="36">
        <f t="shared" si="9"/>
        <v>178364</v>
      </c>
      <c r="S57" s="36">
        <f t="shared" si="9"/>
        <v>780057986.89</v>
      </c>
      <c r="T57" s="36">
        <f t="shared" si="10"/>
        <v>3924068.75</v>
      </c>
      <c r="U57" s="36">
        <f t="shared" si="11"/>
        <v>17450578813.53</v>
      </c>
      <c r="V57" s="118">
        <v>4486.54</v>
      </c>
      <c r="W57" s="37">
        <f>T57*V57</f>
        <v>17605491409.63</v>
      </c>
      <c r="X57" s="36">
        <f t="shared" si="12"/>
        <v>0</v>
      </c>
      <c r="Z57" s="17"/>
      <c r="AA57" s="17"/>
      <c r="AB57" s="36">
        <f t="shared" si="14"/>
        <v>154912596.1</v>
      </c>
      <c r="AC57" s="36">
        <v>154912596.1</v>
      </c>
    </row>
    <row r="58" spans="1:29" ht="12" customHeight="1" outlineLevel="1">
      <c r="A58" s="217"/>
      <c r="B58" s="49"/>
      <c r="C58" s="31" t="s">
        <v>178</v>
      </c>
      <c r="D58" s="5" t="s">
        <v>165</v>
      </c>
      <c r="E58" s="5">
        <v>634</v>
      </c>
      <c r="F58" s="3" t="s">
        <v>179</v>
      </c>
      <c r="G58" s="113">
        <v>33667</v>
      </c>
      <c r="H58" s="49" t="s">
        <v>180</v>
      </c>
      <c r="I58" s="5" t="s">
        <v>168</v>
      </c>
      <c r="J58" s="36">
        <v>5275191.31</v>
      </c>
      <c r="K58" s="57">
        <v>23442211654.86</v>
      </c>
      <c r="L58" s="123">
        <v>0</v>
      </c>
      <c r="M58" s="36">
        <v>0</v>
      </c>
      <c r="N58" s="125">
        <v>202894</v>
      </c>
      <c r="O58" s="36">
        <v>887337609.02</v>
      </c>
      <c r="P58" s="36"/>
      <c r="Q58" s="36"/>
      <c r="R58" s="36">
        <f t="shared" si="9"/>
        <v>202894</v>
      </c>
      <c r="S58" s="36">
        <f t="shared" si="9"/>
        <v>887337609.02</v>
      </c>
      <c r="T58" s="36">
        <f t="shared" si="10"/>
        <v>5072297.31</v>
      </c>
      <c r="U58" s="36">
        <f t="shared" si="11"/>
        <v>22554874045.84</v>
      </c>
      <c r="V58" s="118">
        <v>4486.54</v>
      </c>
      <c r="W58" s="37">
        <f t="shared" si="13"/>
        <v>22757064773.21</v>
      </c>
      <c r="X58" s="36">
        <f t="shared" si="12"/>
        <v>0</v>
      </c>
      <c r="Z58" s="17"/>
      <c r="AA58" s="17"/>
      <c r="AB58" s="36">
        <f t="shared" si="14"/>
        <v>202190727.37</v>
      </c>
      <c r="AC58" s="36">
        <v>202190727.37</v>
      </c>
    </row>
    <row r="59" spans="1:29" ht="12" customHeight="1" outlineLevel="1">
      <c r="A59" s="217"/>
      <c r="B59" s="49"/>
      <c r="C59" s="31" t="s">
        <v>181</v>
      </c>
      <c r="D59" s="5" t="s">
        <v>165</v>
      </c>
      <c r="E59" s="5">
        <v>764</v>
      </c>
      <c r="F59" s="3" t="s">
        <v>182</v>
      </c>
      <c r="G59" s="113">
        <v>35787</v>
      </c>
      <c r="H59" s="49" t="s">
        <v>183</v>
      </c>
      <c r="I59" s="5" t="s">
        <v>168</v>
      </c>
      <c r="J59" s="36">
        <v>3954907.37</v>
      </c>
      <c r="K59" s="57">
        <v>17575054665.25</v>
      </c>
      <c r="L59" s="123">
        <v>0</v>
      </c>
      <c r="M59" s="36">
        <v>0</v>
      </c>
      <c r="N59" s="36">
        <v>188334</v>
      </c>
      <c r="O59" s="36">
        <v>833706464.39</v>
      </c>
      <c r="P59" s="36"/>
      <c r="Q59" s="36"/>
      <c r="R59" s="36">
        <f t="shared" si="9"/>
        <v>188334</v>
      </c>
      <c r="S59" s="36">
        <f t="shared" si="9"/>
        <v>833706464.39</v>
      </c>
      <c r="T59" s="36">
        <f t="shared" si="10"/>
        <v>3766573.37</v>
      </c>
      <c r="U59" s="36">
        <f t="shared" si="11"/>
        <v>16741348200.86</v>
      </c>
      <c r="V59" s="118">
        <v>4486.54</v>
      </c>
      <c r="W59" s="37">
        <f t="shared" si="13"/>
        <v>16898882087.44</v>
      </c>
      <c r="X59" s="36">
        <f t="shared" si="12"/>
        <v>0</v>
      </c>
      <c r="Z59" s="17"/>
      <c r="AA59" s="17"/>
      <c r="AB59" s="36">
        <f t="shared" si="14"/>
        <v>157533886.58</v>
      </c>
      <c r="AC59" s="36">
        <v>157533886.58</v>
      </c>
    </row>
    <row r="60" spans="1:29" ht="12" customHeight="1" outlineLevel="1">
      <c r="A60" s="217"/>
      <c r="B60" s="49"/>
      <c r="C60" s="31" t="s">
        <v>184</v>
      </c>
      <c r="D60" s="5" t="s">
        <v>165</v>
      </c>
      <c r="E60" s="5">
        <v>766</v>
      </c>
      <c r="F60" s="3" t="s">
        <v>185</v>
      </c>
      <c r="G60" s="113">
        <v>35237</v>
      </c>
      <c r="H60" s="49" t="s">
        <v>186</v>
      </c>
      <c r="I60" s="5" t="s">
        <v>168</v>
      </c>
      <c r="J60" s="36">
        <v>5257426.15</v>
      </c>
      <c r="K60" s="57">
        <v>23363265770.94</v>
      </c>
      <c r="L60" s="123">
        <v>0</v>
      </c>
      <c r="M60" s="36">
        <v>0</v>
      </c>
      <c r="N60" s="36">
        <v>256459.82</v>
      </c>
      <c r="O60" s="36">
        <v>1121602610.76</v>
      </c>
      <c r="P60" s="36"/>
      <c r="Q60" s="36"/>
      <c r="R60" s="36">
        <f t="shared" si="9"/>
        <v>256459.82</v>
      </c>
      <c r="S60" s="36">
        <f t="shared" si="9"/>
        <v>1121602610.76</v>
      </c>
      <c r="T60" s="36">
        <f t="shared" si="10"/>
        <v>5000966.33</v>
      </c>
      <c r="U60" s="36">
        <f t="shared" si="11"/>
        <v>22241663160.18</v>
      </c>
      <c r="V60" s="118">
        <v>4486.54</v>
      </c>
      <c r="W60" s="37">
        <f t="shared" si="13"/>
        <v>22437035478.2</v>
      </c>
      <c r="X60" s="36">
        <f t="shared" si="12"/>
        <v>0</v>
      </c>
      <c r="Z60" s="17"/>
      <c r="AA60" s="17"/>
      <c r="AB60" s="36">
        <f t="shared" si="14"/>
        <v>195372318.02</v>
      </c>
      <c r="AC60" s="36">
        <v>195372318.02</v>
      </c>
    </row>
    <row r="61" spans="1:29" ht="12" customHeight="1" outlineLevel="1">
      <c r="A61" s="217"/>
      <c r="B61" s="49"/>
      <c r="C61" s="31" t="s">
        <v>187</v>
      </c>
      <c r="D61" s="5" t="s">
        <v>165</v>
      </c>
      <c r="E61" s="5">
        <v>720</v>
      </c>
      <c r="F61" s="3" t="s">
        <v>188</v>
      </c>
      <c r="G61" s="113">
        <v>34850</v>
      </c>
      <c r="H61" s="49" t="s">
        <v>189</v>
      </c>
      <c r="I61" s="5" t="s">
        <v>168</v>
      </c>
      <c r="J61" s="36">
        <v>713743.28</v>
      </c>
      <c r="K61" s="57">
        <v>3171775212.26</v>
      </c>
      <c r="L61" s="123">
        <v>0</v>
      </c>
      <c r="M61" s="36">
        <v>0</v>
      </c>
      <c r="N61" s="36">
        <v>36602</v>
      </c>
      <c r="O61" s="36">
        <v>160075353.69</v>
      </c>
      <c r="P61" s="36"/>
      <c r="Q61" s="36"/>
      <c r="R61" s="36">
        <f t="shared" si="9"/>
        <v>36602</v>
      </c>
      <c r="S61" s="36">
        <f t="shared" si="9"/>
        <v>160075353.69</v>
      </c>
      <c r="T61" s="36">
        <f t="shared" si="10"/>
        <v>677141.28</v>
      </c>
      <c r="U61" s="36">
        <f t="shared" si="11"/>
        <v>3011699858.57</v>
      </c>
      <c r="V61" s="118">
        <v>4486.54</v>
      </c>
      <c r="W61" s="37">
        <f t="shared" si="13"/>
        <v>3038021438.37</v>
      </c>
      <c r="X61" s="36">
        <f t="shared" si="12"/>
        <v>0</v>
      </c>
      <c r="Z61" s="17"/>
      <c r="AA61" s="17"/>
      <c r="AB61" s="36">
        <f t="shared" si="14"/>
        <v>26321579.8</v>
      </c>
      <c r="AC61" s="36">
        <v>26321579.8</v>
      </c>
    </row>
    <row r="62" spans="1:29" ht="12" customHeight="1" outlineLevel="1">
      <c r="A62" s="217"/>
      <c r="B62" s="49"/>
      <c r="C62" s="31" t="s">
        <v>190</v>
      </c>
      <c r="D62" s="5" t="s">
        <v>165</v>
      </c>
      <c r="E62" s="5">
        <v>721</v>
      </c>
      <c r="F62" s="3" t="s">
        <v>191</v>
      </c>
      <c r="G62" s="113">
        <v>34850</v>
      </c>
      <c r="H62" s="49" t="s">
        <v>192</v>
      </c>
      <c r="I62" s="5" t="s">
        <v>168</v>
      </c>
      <c r="J62" s="36">
        <v>2307514</v>
      </c>
      <c r="K62" s="57">
        <v>10254269164.04</v>
      </c>
      <c r="L62" s="123">
        <v>0</v>
      </c>
      <c r="M62" s="36">
        <v>0</v>
      </c>
      <c r="N62" s="36">
        <v>118332</v>
      </c>
      <c r="O62" s="36">
        <v>517513735.15</v>
      </c>
      <c r="P62" s="36"/>
      <c r="Q62" s="36"/>
      <c r="R62" s="36">
        <f t="shared" si="9"/>
        <v>118332</v>
      </c>
      <c r="S62" s="36">
        <f t="shared" si="9"/>
        <v>517513735.15</v>
      </c>
      <c r="T62" s="36">
        <f t="shared" si="10"/>
        <v>2189182</v>
      </c>
      <c r="U62" s="36">
        <f t="shared" si="11"/>
        <v>9736755428.89</v>
      </c>
      <c r="V62" s="118">
        <v>4486.54</v>
      </c>
      <c r="W62" s="37">
        <f t="shared" si="13"/>
        <v>9821852610.28</v>
      </c>
      <c r="X62" s="36">
        <f t="shared" si="12"/>
        <v>0</v>
      </c>
      <c r="Z62" s="17"/>
      <c r="AA62" s="17"/>
      <c r="AB62" s="36">
        <f t="shared" si="14"/>
        <v>85097181.39</v>
      </c>
      <c r="AC62" s="36">
        <v>85097181.39</v>
      </c>
    </row>
    <row r="63" spans="1:29" ht="12" customHeight="1" outlineLevel="1">
      <c r="A63" s="217"/>
      <c r="B63" s="49"/>
      <c r="C63" s="31" t="s">
        <v>193</v>
      </c>
      <c r="D63" s="5" t="s">
        <v>163</v>
      </c>
      <c r="E63" s="5">
        <v>1052</v>
      </c>
      <c r="F63" s="3" t="s">
        <v>194</v>
      </c>
      <c r="G63" s="113">
        <v>36922</v>
      </c>
      <c r="H63" s="49" t="s">
        <v>195</v>
      </c>
      <c r="I63" s="5" t="s">
        <v>168</v>
      </c>
      <c r="J63" s="36">
        <v>8206238.57</v>
      </c>
      <c r="K63" s="57">
        <v>36467375331.68</v>
      </c>
      <c r="L63" s="123">
        <v>0</v>
      </c>
      <c r="M63" s="36">
        <v>0</v>
      </c>
      <c r="N63" s="36">
        <v>328250</v>
      </c>
      <c r="O63" s="36">
        <v>1435570120.45</v>
      </c>
      <c r="P63" s="36"/>
      <c r="Q63" s="36"/>
      <c r="R63" s="36">
        <f t="shared" si="9"/>
        <v>328250</v>
      </c>
      <c r="S63" s="36">
        <f t="shared" si="9"/>
        <v>1435570120.45</v>
      </c>
      <c r="T63" s="36">
        <f t="shared" si="10"/>
        <v>7877988.57</v>
      </c>
      <c r="U63" s="36">
        <f t="shared" si="11"/>
        <v>35031805211.23</v>
      </c>
      <c r="V63" s="118">
        <v>4486.54</v>
      </c>
      <c r="W63" s="37">
        <f t="shared" si="13"/>
        <v>35344910838.85</v>
      </c>
      <c r="X63" s="36">
        <f t="shared" si="12"/>
        <v>0</v>
      </c>
      <c r="Z63" s="17"/>
      <c r="AA63" s="17"/>
      <c r="AB63" s="36">
        <f t="shared" si="14"/>
        <v>313105627.62</v>
      </c>
      <c r="AC63" s="36">
        <v>313105627.62</v>
      </c>
    </row>
    <row r="64" spans="1:29" ht="12" customHeight="1" outlineLevel="1">
      <c r="A64" s="217"/>
      <c r="B64" s="49"/>
      <c r="C64" s="31" t="s">
        <v>196</v>
      </c>
      <c r="D64" s="5" t="s">
        <v>163</v>
      </c>
      <c r="E64" s="5">
        <v>1154</v>
      </c>
      <c r="F64" s="3" t="s">
        <v>197</v>
      </c>
      <c r="G64" s="113">
        <v>38856</v>
      </c>
      <c r="H64" s="49" t="s">
        <v>198</v>
      </c>
      <c r="I64" s="5" t="s">
        <v>168</v>
      </c>
      <c r="J64" s="36">
        <v>9099939.83</v>
      </c>
      <c r="K64" s="57">
        <v>40438858612.94</v>
      </c>
      <c r="L64" s="36"/>
      <c r="M64" s="36"/>
      <c r="N64" s="36">
        <v>0</v>
      </c>
      <c r="O64" s="36">
        <v>0</v>
      </c>
      <c r="P64" s="36"/>
      <c r="Q64" s="36"/>
      <c r="R64" s="36">
        <f t="shared" si="9"/>
        <v>0</v>
      </c>
      <c r="S64" s="36">
        <f t="shared" si="9"/>
        <v>0</v>
      </c>
      <c r="T64" s="36">
        <f t="shared" si="10"/>
        <v>9099939.83</v>
      </c>
      <c r="U64" s="36">
        <f t="shared" si="11"/>
        <v>40438858988.72</v>
      </c>
      <c r="V64" s="118">
        <v>4486.54</v>
      </c>
      <c r="W64" s="37">
        <f t="shared" si="13"/>
        <v>40827244044.89</v>
      </c>
      <c r="X64" s="36">
        <f t="shared" si="12"/>
        <v>-5351629.38</v>
      </c>
      <c r="Z64" s="17"/>
      <c r="AA64" s="17">
        <v>375.78</v>
      </c>
      <c r="AB64" s="36">
        <f t="shared" si="14"/>
        <v>393736685.55</v>
      </c>
      <c r="AC64" s="22">
        <f>393736685.55+375.78</f>
        <v>393737061.33</v>
      </c>
    </row>
    <row r="65" spans="1:29" ht="12" customHeight="1" outlineLevel="1">
      <c r="A65" s="217"/>
      <c r="B65" s="49"/>
      <c r="C65" s="31" t="s">
        <v>199</v>
      </c>
      <c r="D65" s="5" t="s">
        <v>163</v>
      </c>
      <c r="E65" s="5">
        <v>1125</v>
      </c>
      <c r="F65" s="3" t="s">
        <v>458</v>
      </c>
      <c r="G65" s="113">
        <v>38041</v>
      </c>
      <c r="H65" s="49" t="s">
        <v>201</v>
      </c>
      <c r="I65" s="5" t="s">
        <v>168</v>
      </c>
      <c r="J65" s="36">
        <v>9428923.22</v>
      </c>
      <c r="K65" s="57">
        <v>41900814740.43</v>
      </c>
      <c r="L65" s="36">
        <v>0</v>
      </c>
      <c r="M65" s="36">
        <v>0</v>
      </c>
      <c r="N65" s="36">
        <v>336760</v>
      </c>
      <c r="O65" s="36">
        <v>1472787779.84</v>
      </c>
      <c r="P65" s="36"/>
      <c r="Q65" s="36"/>
      <c r="R65" s="36">
        <f>+N65+P65</f>
        <v>336760</v>
      </c>
      <c r="S65" s="36">
        <f t="shared" si="9"/>
        <v>1472787779.84</v>
      </c>
      <c r="T65" s="36">
        <f t="shared" si="10"/>
        <v>9092163.22</v>
      </c>
      <c r="U65" s="36">
        <f t="shared" si="11"/>
        <v>40428026960.59</v>
      </c>
      <c r="V65" s="118">
        <v>4486.54</v>
      </c>
      <c r="W65" s="37">
        <f t="shared" si="13"/>
        <v>40792353973.06</v>
      </c>
      <c r="X65" s="36">
        <f t="shared" si="12"/>
        <v>0</v>
      </c>
      <c r="Z65" s="17"/>
      <c r="AA65" s="17"/>
      <c r="AB65" s="36">
        <f t="shared" si="14"/>
        <v>364327012.47</v>
      </c>
      <c r="AC65" s="36">
        <v>364327012.47</v>
      </c>
    </row>
    <row r="66" spans="1:29" ht="12" customHeight="1" outlineLevel="1">
      <c r="A66" s="217"/>
      <c r="B66" s="49"/>
      <c r="C66" s="31" t="s">
        <v>202</v>
      </c>
      <c r="D66" s="5" t="s">
        <v>165</v>
      </c>
      <c r="E66" s="5">
        <v>1224</v>
      </c>
      <c r="F66" s="3" t="s">
        <v>203</v>
      </c>
      <c r="G66" s="113">
        <v>39434</v>
      </c>
      <c r="H66" s="49" t="s">
        <v>204</v>
      </c>
      <c r="I66" s="5" t="s">
        <v>168</v>
      </c>
      <c r="J66" s="36">
        <v>11636048.98</v>
      </c>
      <c r="K66" s="57">
        <v>51708972620.26</v>
      </c>
      <c r="L66" s="36">
        <v>0</v>
      </c>
      <c r="M66" s="36">
        <v>0</v>
      </c>
      <c r="N66" s="36">
        <v>0</v>
      </c>
      <c r="O66" s="36">
        <v>0</v>
      </c>
      <c r="P66" s="36"/>
      <c r="Q66" s="36"/>
      <c r="R66" s="36">
        <f t="shared" si="9"/>
        <v>0</v>
      </c>
      <c r="S66" s="36">
        <f t="shared" si="9"/>
        <v>0</v>
      </c>
      <c r="T66" s="36">
        <f t="shared" si="10"/>
        <v>11636048.98</v>
      </c>
      <c r="U66" s="36">
        <f t="shared" si="11"/>
        <v>51708972620.26</v>
      </c>
      <c r="V66" s="118">
        <v>4486.54</v>
      </c>
      <c r="W66" s="37">
        <f t="shared" si="13"/>
        <v>52205599190.73</v>
      </c>
      <c r="X66" s="36">
        <f t="shared" si="12"/>
        <v>0</v>
      </c>
      <c r="Z66" s="17"/>
      <c r="AA66" s="17"/>
      <c r="AB66" s="36">
        <f t="shared" si="14"/>
        <v>496626570.47</v>
      </c>
      <c r="AC66" s="36">
        <v>496626570.47</v>
      </c>
    </row>
    <row r="67" spans="1:29" ht="12" customHeight="1" outlineLevel="1">
      <c r="A67" s="217"/>
      <c r="B67" s="49"/>
      <c r="C67" s="31" t="s">
        <v>205</v>
      </c>
      <c r="D67" s="5" t="s">
        <v>165</v>
      </c>
      <c r="E67" s="5">
        <v>1249</v>
      </c>
      <c r="F67" s="3" t="s">
        <v>206</v>
      </c>
      <c r="G67" s="113">
        <v>39722</v>
      </c>
      <c r="H67" s="49" t="s">
        <v>207</v>
      </c>
      <c r="I67" s="5" t="s">
        <v>168</v>
      </c>
      <c r="J67" s="36">
        <v>11031191.93</v>
      </c>
      <c r="K67" s="57">
        <v>49021072570.05</v>
      </c>
      <c r="L67" s="36">
        <v>414086.57</v>
      </c>
      <c r="M67" s="36">
        <f>814170099.05+903900893.87</f>
        <v>1718070992.92</v>
      </c>
      <c r="N67" s="57">
        <v>0</v>
      </c>
      <c r="O67" s="36">
        <v>0</v>
      </c>
      <c r="P67" s="36"/>
      <c r="Q67" s="36"/>
      <c r="R67" s="36">
        <f t="shared" si="9"/>
        <v>0</v>
      </c>
      <c r="S67" s="36">
        <f t="shared" si="9"/>
        <v>0</v>
      </c>
      <c r="T67" s="36">
        <f t="shared" si="10"/>
        <v>11445278.5</v>
      </c>
      <c r="U67" s="36">
        <f t="shared" si="11"/>
        <v>50739466992.31</v>
      </c>
      <c r="V67" s="118">
        <v>4486.54</v>
      </c>
      <c r="W67" s="37">
        <f t="shared" si="13"/>
        <v>51349699801.39</v>
      </c>
      <c r="X67" s="36">
        <f t="shared" si="12"/>
        <v>0</v>
      </c>
      <c r="Z67" s="20"/>
      <c r="AA67" s="22">
        <v>323429.34</v>
      </c>
      <c r="AB67" s="36">
        <f t="shared" si="14"/>
        <v>610232809.08</v>
      </c>
      <c r="AC67" s="22">
        <f>610232809.08+323429.34</f>
        <v>610556238.42</v>
      </c>
    </row>
    <row r="68" spans="1:29" ht="24" customHeight="1" outlineLevel="1">
      <c r="A68" s="217"/>
      <c r="B68" s="49"/>
      <c r="C68" s="31" t="s">
        <v>208</v>
      </c>
      <c r="D68" s="5" t="s">
        <v>165</v>
      </c>
      <c r="E68" s="5"/>
      <c r="F68" s="3" t="s">
        <v>209</v>
      </c>
      <c r="G68" s="113">
        <v>41124</v>
      </c>
      <c r="H68" s="114" t="s">
        <v>575</v>
      </c>
      <c r="I68" s="5" t="s">
        <v>168</v>
      </c>
      <c r="J68" s="36">
        <v>4485524.49</v>
      </c>
      <c r="K68" s="57">
        <v>19933042860.13</v>
      </c>
      <c r="L68" s="36">
        <f>944398.69+1311934.43</f>
        <v>2256333.12</v>
      </c>
      <c r="M68" s="36">
        <f>1011768167.92+1174450932.93+1071947939.24+1475814471.97+1046701827.78+4179445846.59</f>
        <v>9960129186.43</v>
      </c>
      <c r="N68" s="57">
        <v>0</v>
      </c>
      <c r="O68" s="57">
        <v>0</v>
      </c>
      <c r="P68" s="36"/>
      <c r="Q68" s="36"/>
      <c r="R68" s="36">
        <f t="shared" si="9"/>
        <v>0</v>
      </c>
      <c r="S68" s="36">
        <f t="shared" si="9"/>
        <v>0</v>
      </c>
      <c r="T68" s="36">
        <f t="shared" si="10"/>
        <v>6741857.61</v>
      </c>
      <c r="U68" s="36">
        <f t="shared" si="11"/>
        <v>29893171676.52</v>
      </c>
      <c r="V68" s="118">
        <v>4486.54</v>
      </c>
      <c r="W68" s="37">
        <f t="shared" si="13"/>
        <v>30247613841.57</v>
      </c>
      <c r="X68" s="36">
        <f t="shared" si="12"/>
        <v>57640489.25</v>
      </c>
      <c r="Z68" s="17">
        <f>2941.79+895.42</f>
        <v>3837.21</v>
      </c>
      <c r="AA68" s="17">
        <v>3467.17</v>
      </c>
      <c r="AB68" s="36">
        <f t="shared" si="14"/>
        <v>296801675.8</v>
      </c>
      <c r="AC68" s="22">
        <f>296801675.8+3467.17</f>
        <v>296805142.97</v>
      </c>
    </row>
    <row r="69" spans="1:29" ht="23.25" customHeight="1" outlineLevel="1">
      <c r="A69" s="217"/>
      <c r="B69" s="49"/>
      <c r="C69" s="31" t="s">
        <v>210</v>
      </c>
      <c r="D69" s="5" t="s">
        <v>165</v>
      </c>
      <c r="E69" s="5"/>
      <c r="F69" s="3" t="s">
        <v>211</v>
      </c>
      <c r="G69" s="113">
        <v>41124</v>
      </c>
      <c r="H69" s="114" t="s">
        <v>574</v>
      </c>
      <c r="I69" s="5" t="s">
        <v>58</v>
      </c>
      <c r="J69" s="36">
        <v>1850193.59</v>
      </c>
      <c r="K69" s="57">
        <v>8222001286.86</v>
      </c>
      <c r="L69" s="36">
        <v>1047874.73</v>
      </c>
      <c r="M69" s="36">
        <v>3732542699.93</v>
      </c>
      <c r="N69" s="57">
        <v>0</v>
      </c>
      <c r="O69" s="57">
        <v>0</v>
      </c>
      <c r="P69" s="36"/>
      <c r="Q69" s="36"/>
      <c r="R69" s="36">
        <f t="shared" si="9"/>
        <v>0</v>
      </c>
      <c r="S69" s="36">
        <f t="shared" si="9"/>
        <v>0</v>
      </c>
      <c r="T69" s="36">
        <f t="shared" si="10"/>
        <v>2898068.32</v>
      </c>
      <c r="U69" s="36">
        <f t="shared" si="11"/>
        <v>11954543986.79</v>
      </c>
      <c r="V69" s="118">
        <v>3509.53</v>
      </c>
      <c r="W69" s="37">
        <f>T69*V69</f>
        <v>10170857711.09</v>
      </c>
      <c r="X69" s="36">
        <f t="shared" si="12"/>
        <v>-20997675.12</v>
      </c>
      <c r="Z69" s="17"/>
      <c r="AA69" s="17"/>
      <c r="AB69" s="36">
        <f t="shared" si="14"/>
        <v>-1762688600.58</v>
      </c>
      <c r="AC69" s="36">
        <v>-1762688600.58</v>
      </c>
    </row>
    <row r="70" spans="1:29" ht="12" customHeight="1" outlineLevel="1">
      <c r="A70" s="217"/>
      <c r="B70" s="49"/>
      <c r="C70" s="31" t="s">
        <v>212</v>
      </c>
      <c r="D70" s="5" t="s">
        <v>165</v>
      </c>
      <c r="E70" s="5"/>
      <c r="F70" s="3" t="s">
        <v>213</v>
      </c>
      <c r="G70" s="113">
        <v>41394</v>
      </c>
      <c r="H70" s="49" t="s">
        <v>214</v>
      </c>
      <c r="I70" s="5" t="s">
        <v>168</v>
      </c>
      <c r="J70" s="36">
        <v>4040888.91</v>
      </c>
      <c r="K70" s="57">
        <v>17957144591.59</v>
      </c>
      <c r="L70" s="36">
        <f>367096.41+1990739.7</f>
        <v>2357836.11</v>
      </c>
      <c r="M70" s="36">
        <f>1634706010.48+8828448574.85</f>
        <v>10463154585.33</v>
      </c>
      <c r="N70" s="57">
        <v>0</v>
      </c>
      <c r="O70" s="57">
        <v>0</v>
      </c>
      <c r="P70" s="36"/>
      <c r="Q70" s="36"/>
      <c r="R70" s="36">
        <f>+N70+P70</f>
        <v>0</v>
      </c>
      <c r="S70" s="36">
        <f>+O70+Q70</f>
        <v>0</v>
      </c>
      <c r="T70" s="36">
        <f t="shared" si="10"/>
        <v>6398725.02</v>
      </c>
      <c r="U70" s="36">
        <f t="shared" si="11"/>
        <v>28419777921.64</v>
      </c>
      <c r="V70" s="118">
        <v>4486.54</v>
      </c>
      <c r="W70" s="37">
        <f t="shared" si="13"/>
        <v>28708135751.23</v>
      </c>
      <c r="X70" s="36">
        <f t="shared" si="12"/>
        <v>10444191.42</v>
      </c>
      <c r="Z70" s="20">
        <v>522800.29</v>
      </c>
      <c r="AA70" s="126">
        <v>1545.01</v>
      </c>
      <c r="AB70" s="36">
        <f t="shared" si="14"/>
        <v>277913638.17</v>
      </c>
      <c r="AC70" s="22">
        <f>277913638.17+1545.01</f>
        <v>277915183.18</v>
      </c>
    </row>
    <row r="71" spans="1:29" ht="12" customHeight="1" outlineLevel="1">
      <c r="A71" s="217"/>
      <c r="B71" s="49"/>
      <c r="C71" s="31" t="s">
        <v>215</v>
      </c>
      <c r="D71" s="5" t="s">
        <v>165</v>
      </c>
      <c r="E71" s="5">
        <v>1276</v>
      </c>
      <c r="F71" s="3" t="s">
        <v>216</v>
      </c>
      <c r="G71" s="113">
        <v>41276</v>
      </c>
      <c r="H71" s="49" t="s">
        <v>217</v>
      </c>
      <c r="I71" s="5" t="s">
        <v>168</v>
      </c>
      <c r="J71" s="36">
        <v>3094402.6</v>
      </c>
      <c r="K71" s="57">
        <v>13751091938.04</v>
      </c>
      <c r="L71" s="36">
        <f>132827.59+122339.2</f>
        <v>255166.79</v>
      </c>
      <c r="M71" s="36">
        <v>1139464380.62</v>
      </c>
      <c r="N71" s="57">
        <v>0</v>
      </c>
      <c r="O71" s="57">
        <v>0</v>
      </c>
      <c r="P71" s="36"/>
      <c r="Q71" s="36"/>
      <c r="R71" s="36">
        <f>+N71+P71</f>
        <v>0</v>
      </c>
      <c r="S71" s="36">
        <f>+O71+Q71</f>
        <v>0</v>
      </c>
      <c r="T71" s="36">
        <f t="shared" si="10"/>
        <v>3349569.39</v>
      </c>
      <c r="U71" s="36">
        <f t="shared" si="11"/>
        <v>14890556318.66</v>
      </c>
      <c r="V71" s="118">
        <v>4486.54</v>
      </c>
      <c r="W71" s="37">
        <f t="shared" si="13"/>
        <v>15027977051.01</v>
      </c>
      <c r="X71" s="36">
        <f t="shared" si="12"/>
        <v>5351629.39</v>
      </c>
      <c r="Z71" s="17"/>
      <c r="AA71" s="17"/>
      <c r="AB71" s="36">
        <f t="shared" si="14"/>
        <v>132069102.96</v>
      </c>
      <c r="AC71" s="36">
        <v>132069102.96</v>
      </c>
    </row>
    <row r="72" spans="1:28" ht="12" customHeight="1" outlineLevel="1">
      <c r="A72" s="217"/>
      <c r="B72" s="49"/>
      <c r="C72" s="31" t="s">
        <v>476</v>
      </c>
      <c r="D72" s="5" t="s">
        <v>165</v>
      </c>
      <c r="E72" s="5" t="s">
        <v>477</v>
      </c>
      <c r="F72" s="3" t="s">
        <v>478</v>
      </c>
      <c r="G72" s="113">
        <v>42306</v>
      </c>
      <c r="H72" s="49" t="s">
        <v>479</v>
      </c>
      <c r="I72" s="5" t="s">
        <v>168</v>
      </c>
      <c r="J72" s="36"/>
      <c r="K72" s="57"/>
      <c r="L72" s="36">
        <v>0</v>
      </c>
      <c r="M72" s="36">
        <v>0</v>
      </c>
      <c r="N72" s="57">
        <v>0</v>
      </c>
      <c r="O72" s="57">
        <v>0</v>
      </c>
      <c r="P72" s="36"/>
      <c r="Q72" s="36"/>
      <c r="R72" s="36">
        <f>+N72+P72</f>
        <v>0</v>
      </c>
      <c r="S72" s="36"/>
      <c r="T72" s="36"/>
      <c r="U72" s="36">
        <f t="shared" si="11"/>
        <v>0</v>
      </c>
      <c r="V72" s="118">
        <v>4486.54</v>
      </c>
      <c r="W72" s="37"/>
      <c r="X72" s="36">
        <f t="shared" si="12"/>
        <v>0</v>
      </c>
      <c r="Z72" s="17"/>
      <c r="AA72" s="17"/>
      <c r="AB72" s="36">
        <f t="shared" si="14"/>
        <v>0</v>
      </c>
    </row>
    <row r="73" spans="1:28" ht="12" customHeight="1" outlineLevel="1">
      <c r="A73" s="217"/>
      <c r="B73" s="49"/>
      <c r="C73" s="31" t="s">
        <v>480</v>
      </c>
      <c r="D73" s="5" t="s">
        <v>165</v>
      </c>
      <c r="E73" s="5" t="s">
        <v>481</v>
      </c>
      <c r="F73" s="3" t="s">
        <v>482</v>
      </c>
      <c r="G73" s="113">
        <v>42298</v>
      </c>
      <c r="H73" s="49" t="s">
        <v>483</v>
      </c>
      <c r="I73" s="5" t="s">
        <v>168</v>
      </c>
      <c r="J73" s="36"/>
      <c r="K73" s="57"/>
      <c r="L73" s="36">
        <v>0</v>
      </c>
      <c r="M73" s="36">
        <v>0</v>
      </c>
      <c r="N73" s="57">
        <v>0</v>
      </c>
      <c r="O73" s="57">
        <v>0</v>
      </c>
      <c r="P73" s="36"/>
      <c r="Q73" s="36"/>
      <c r="R73" s="36">
        <f>+N73+P73</f>
        <v>0</v>
      </c>
      <c r="S73" s="36"/>
      <c r="T73" s="36"/>
      <c r="U73" s="36">
        <f t="shared" si="11"/>
        <v>0</v>
      </c>
      <c r="V73" s="118">
        <v>4486.54</v>
      </c>
      <c r="W73" s="37"/>
      <c r="X73" s="36">
        <f t="shared" si="12"/>
        <v>0</v>
      </c>
      <c r="Z73" s="17"/>
      <c r="AA73" s="17"/>
      <c r="AB73" s="36">
        <f t="shared" si="14"/>
        <v>0</v>
      </c>
    </row>
    <row r="74" spans="1:28" ht="12" customHeight="1" outlineLevel="1">
      <c r="A74" s="217"/>
      <c r="C74" s="38"/>
      <c r="D74" s="9"/>
      <c r="E74" s="18"/>
      <c r="F74" s="9"/>
      <c r="G74" s="121"/>
      <c r="H74" s="40" t="s">
        <v>218</v>
      </c>
      <c r="I74" s="5"/>
      <c r="J74" s="15">
        <f>SUM(J54:J73)</f>
        <v>90599591.27</v>
      </c>
      <c r="K74" s="15">
        <f aca="true" t="shared" si="15" ref="K74:U74">SUM(K54:K73)</f>
        <v>402611899661.11</v>
      </c>
      <c r="L74" s="15">
        <f t="shared" si="15"/>
        <v>6331297.32</v>
      </c>
      <c r="M74" s="15">
        <f t="shared" si="15"/>
        <v>27013361845.23</v>
      </c>
      <c r="N74" s="15">
        <f t="shared" si="15"/>
        <v>2031461.82</v>
      </c>
      <c r="O74" s="15">
        <f t="shared" si="15"/>
        <v>8884891857.12</v>
      </c>
      <c r="P74" s="15">
        <f t="shared" si="15"/>
        <v>0</v>
      </c>
      <c r="Q74" s="15">
        <f t="shared" si="15"/>
        <v>0</v>
      </c>
      <c r="R74" s="15">
        <f t="shared" si="15"/>
        <v>2031461.82</v>
      </c>
      <c r="S74" s="15">
        <f t="shared" si="15"/>
        <v>8884891857.12</v>
      </c>
      <c r="T74" s="15">
        <f t="shared" si="15"/>
        <v>94899426.77</v>
      </c>
      <c r="U74" s="15">
        <f t="shared" si="15"/>
        <v>420740171829.02</v>
      </c>
      <c r="V74" s="15"/>
      <c r="W74" s="43">
        <f>SUM(W54:W73)</f>
        <v>422938632451.36</v>
      </c>
      <c r="X74" s="43">
        <f>SUM(X54:X73)</f>
        <v>47087005.56</v>
      </c>
      <c r="Z74" s="17"/>
      <c r="AA74" s="17"/>
      <c r="AB74" s="36">
        <f t="shared" si="14"/>
        <v>0</v>
      </c>
    </row>
    <row r="75" spans="1:28" ht="7.5" customHeight="1" outlineLevel="1">
      <c r="A75" s="217"/>
      <c r="H75" s="12"/>
      <c r="I75" s="74"/>
      <c r="J75" s="127"/>
      <c r="K75" s="128"/>
      <c r="L75" s="127"/>
      <c r="M75" s="127"/>
      <c r="N75" s="127"/>
      <c r="O75" s="127"/>
      <c r="P75" s="129"/>
      <c r="Q75" s="129"/>
      <c r="R75" s="129"/>
      <c r="S75" s="129"/>
      <c r="T75" s="127"/>
      <c r="U75" s="127"/>
      <c r="V75" s="129"/>
      <c r="W75" s="130"/>
      <c r="X75" s="127"/>
      <c r="Z75" s="17"/>
      <c r="AA75" s="17"/>
      <c r="AB75" s="36">
        <f t="shared" si="14"/>
        <v>0</v>
      </c>
    </row>
    <row r="76" spans="1:28" ht="12" customHeight="1" outlineLevel="1">
      <c r="A76" s="217"/>
      <c r="B76" s="146">
        <v>1621110</v>
      </c>
      <c r="C76" s="49"/>
      <c r="D76" s="5"/>
      <c r="E76" s="5"/>
      <c r="F76" s="3"/>
      <c r="G76" s="113"/>
      <c r="H76" s="27" t="s">
        <v>349</v>
      </c>
      <c r="I76" s="5"/>
      <c r="J76" s="36"/>
      <c r="K76" s="57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7"/>
      <c r="X76" s="36"/>
      <c r="Z76" s="17"/>
      <c r="AA76" s="17"/>
      <c r="AB76" s="36">
        <f t="shared" si="14"/>
        <v>0</v>
      </c>
    </row>
    <row r="77" spans="1:29" ht="12" customHeight="1" outlineLevel="1">
      <c r="A77" s="217"/>
      <c r="B77" s="49"/>
      <c r="C77" s="31" t="s">
        <v>350</v>
      </c>
      <c r="D77" s="5" t="s">
        <v>349</v>
      </c>
      <c r="E77" s="5">
        <v>647</v>
      </c>
      <c r="F77" s="3">
        <v>10000405</v>
      </c>
      <c r="G77" s="113">
        <v>33893</v>
      </c>
      <c r="H77" s="49" t="s">
        <v>351</v>
      </c>
      <c r="I77" s="5" t="s">
        <v>9</v>
      </c>
      <c r="J77" s="36">
        <v>511080</v>
      </c>
      <c r="K77" s="57">
        <v>1635052246.8</v>
      </c>
      <c r="L77" s="36"/>
      <c r="M77" s="36"/>
      <c r="N77" s="36">
        <v>39320</v>
      </c>
      <c r="O77" s="36">
        <v>125524578.2</v>
      </c>
      <c r="P77" s="36"/>
      <c r="Q77" s="36"/>
      <c r="R77" s="36">
        <f aca="true" t="shared" si="16" ref="R77:S92">+N77+P77</f>
        <v>39320</v>
      </c>
      <c r="S77" s="36">
        <f t="shared" si="16"/>
        <v>125524578.2</v>
      </c>
      <c r="T77" s="36">
        <f aca="true" t="shared" si="17" ref="T77:T92">+J77+L77-R77</f>
        <v>471760</v>
      </c>
      <c r="U77" s="36">
        <f aca="true" t="shared" si="18" ref="U77:U96">+K77+M77-S77-Z77+AA77</f>
        <v>1509527668.6</v>
      </c>
      <c r="V77" s="118">
        <v>3347.94</v>
      </c>
      <c r="W77" s="37">
        <f>T77*V77</f>
        <v>1579424174.4</v>
      </c>
      <c r="X77" s="36">
        <f aca="true" t="shared" si="19" ref="X77:X96">+W77-U77-AB77</f>
        <v>0</v>
      </c>
      <c r="Z77" s="17"/>
      <c r="AA77" s="17"/>
      <c r="AB77" s="36">
        <f t="shared" si="14"/>
        <v>69896505.8</v>
      </c>
      <c r="AC77" s="36">
        <v>69896505.8</v>
      </c>
    </row>
    <row r="78" spans="1:29" ht="12" customHeight="1" outlineLevel="1">
      <c r="A78" s="217"/>
      <c r="B78" s="49"/>
      <c r="C78" s="31" t="s">
        <v>352</v>
      </c>
      <c r="D78" s="5" t="s">
        <v>349</v>
      </c>
      <c r="E78" s="5">
        <v>626</v>
      </c>
      <c r="F78" s="3">
        <v>10000305</v>
      </c>
      <c r="G78" s="113">
        <v>33245</v>
      </c>
      <c r="H78" s="49" t="s">
        <v>353</v>
      </c>
      <c r="I78" s="5" t="s">
        <v>9</v>
      </c>
      <c r="J78" s="36">
        <v>664400</v>
      </c>
      <c r="K78" s="57">
        <v>2125555124</v>
      </c>
      <c r="L78" s="36"/>
      <c r="M78" s="36"/>
      <c r="N78" s="36">
        <v>60400</v>
      </c>
      <c r="O78" s="36">
        <v>190103262</v>
      </c>
      <c r="P78" s="36"/>
      <c r="Q78" s="36"/>
      <c r="R78" s="36">
        <f t="shared" si="16"/>
        <v>60400</v>
      </c>
      <c r="S78" s="36">
        <f t="shared" si="16"/>
        <v>190103262</v>
      </c>
      <c r="T78" s="36">
        <f t="shared" si="17"/>
        <v>604000</v>
      </c>
      <c r="U78" s="36">
        <f t="shared" si="18"/>
        <v>1935451862</v>
      </c>
      <c r="V78" s="118">
        <v>3347.94</v>
      </c>
      <c r="W78" s="37">
        <f aca="true" t="shared" si="20" ref="W78:W92">T78*V78</f>
        <v>2022155760</v>
      </c>
      <c r="X78" s="36">
        <f t="shared" si="19"/>
        <v>0</v>
      </c>
      <c r="Z78" s="1"/>
      <c r="AA78" s="1"/>
      <c r="AB78" s="36">
        <f t="shared" si="14"/>
        <v>86703898</v>
      </c>
      <c r="AC78" s="36">
        <v>86703898</v>
      </c>
    </row>
    <row r="79" spans="1:29" ht="12" customHeight="1" outlineLevel="1">
      <c r="A79" s="217"/>
      <c r="B79" s="49"/>
      <c r="C79" s="31" t="s">
        <v>354</v>
      </c>
      <c r="D79" s="5" t="s">
        <v>349</v>
      </c>
      <c r="E79" s="5">
        <v>756</v>
      </c>
      <c r="F79" s="3">
        <v>10001005</v>
      </c>
      <c r="G79" s="113">
        <v>35942</v>
      </c>
      <c r="H79" s="49" t="s">
        <v>355</v>
      </c>
      <c r="I79" s="5" t="s">
        <v>9</v>
      </c>
      <c r="J79" s="36">
        <v>2591314.26</v>
      </c>
      <c r="K79" s="57">
        <v>8290158493.73</v>
      </c>
      <c r="L79" s="36"/>
      <c r="M79" s="36"/>
      <c r="N79" s="36">
        <v>199320</v>
      </c>
      <c r="O79" s="36">
        <v>654033699</v>
      </c>
      <c r="P79" s="36"/>
      <c r="Q79" s="36"/>
      <c r="R79" s="36">
        <f t="shared" si="16"/>
        <v>199320</v>
      </c>
      <c r="S79" s="36">
        <f t="shared" si="16"/>
        <v>654033699</v>
      </c>
      <c r="T79" s="36">
        <f t="shared" si="17"/>
        <v>2391994.26</v>
      </c>
      <c r="U79" s="36">
        <f t="shared" si="18"/>
        <v>7636124794.73</v>
      </c>
      <c r="V79" s="118">
        <v>3347.94</v>
      </c>
      <c r="W79" s="37">
        <f>T79*V79</f>
        <v>8008253262.82</v>
      </c>
      <c r="X79" s="36">
        <f t="shared" si="19"/>
        <v>0</v>
      </c>
      <c r="Z79" s="1"/>
      <c r="AA79" s="1"/>
      <c r="AB79" s="36">
        <f t="shared" si="14"/>
        <v>372128468.09</v>
      </c>
      <c r="AC79" s="36">
        <v>372128468.09</v>
      </c>
    </row>
    <row r="80" spans="1:29" ht="12" customHeight="1" outlineLevel="1">
      <c r="A80" s="217"/>
      <c r="B80" s="49"/>
      <c r="C80" s="31" t="s">
        <v>356</v>
      </c>
      <c r="D80" s="5" t="s">
        <v>349</v>
      </c>
      <c r="E80" s="5">
        <v>762</v>
      </c>
      <c r="F80" s="3">
        <v>10000505</v>
      </c>
      <c r="G80" s="113">
        <v>35664</v>
      </c>
      <c r="H80" s="49" t="s">
        <v>357</v>
      </c>
      <c r="I80" s="5" t="s">
        <v>9</v>
      </c>
      <c r="J80" s="36">
        <v>773107.69</v>
      </c>
      <c r="K80" s="57">
        <v>2473333852.92</v>
      </c>
      <c r="L80" s="36"/>
      <c r="M80" s="36"/>
      <c r="N80" s="36">
        <v>59460</v>
      </c>
      <c r="O80" s="36">
        <v>185499740.4</v>
      </c>
      <c r="P80" s="36"/>
      <c r="Q80" s="36"/>
      <c r="R80" s="36">
        <f t="shared" si="16"/>
        <v>59460</v>
      </c>
      <c r="S80" s="36">
        <f t="shared" si="16"/>
        <v>185499740.4</v>
      </c>
      <c r="T80" s="36">
        <f t="shared" si="17"/>
        <v>713647.69</v>
      </c>
      <c r="U80" s="36">
        <f t="shared" si="18"/>
        <v>2287834112.52</v>
      </c>
      <c r="V80" s="118">
        <v>3347.94</v>
      </c>
      <c r="W80" s="37">
        <f>T80*V80</f>
        <v>2389249647.26</v>
      </c>
      <c r="X80" s="36">
        <f t="shared" si="19"/>
        <v>0</v>
      </c>
      <c r="Z80" s="1"/>
      <c r="AA80" s="1"/>
      <c r="AB80" s="36">
        <f t="shared" si="14"/>
        <v>101415534.74</v>
      </c>
      <c r="AC80" s="36">
        <v>101415534.74</v>
      </c>
    </row>
    <row r="81" spans="1:29" ht="12" customHeight="1" outlineLevel="1">
      <c r="A81" s="217"/>
      <c r="B81" s="49"/>
      <c r="C81" s="31" t="s">
        <v>358</v>
      </c>
      <c r="D81" s="5" t="s">
        <v>349</v>
      </c>
      <c r="E81" s="5">
        <v>886</v>
      </c>
      <c r="F81" s="3">
        <v>10000905</v>
      </c>
      <c r="G81" s="113">
        <v>36272</v>
      </c>
      <c r="H81" s="49" t="s">
        <v>359</v>
      </c>
      <c r="I81" s="5" t="s">
        <v>9</v>
      </c>
      <c r="J81" s="36">
        <v>1535123.7</v>
      </c>
      <c r="K81" s="57">
        <v>4911183092.28</v>
      </c>
      <c r="L81" s="36"/>
      <c r="M81" s="36"/>
      <c r="N81" s="36">
        <v>118080</v>
      </c>
      <c r="O81" s="36">
        <v>376695864</v>
      </c>
      <c r="P81" s="36"/>
      <c r="Q81" s="36"/>
      <c r="R81" s="36">
        <f t="shared" si="16"/>
        <v>118080</v>
      </c>
      <c r="S81" s="36">
        <f t="shared" si="16"/>
        <v>376695864</v>
      </c>
      <c r="T81" s="36">
        <f t="shared" si="17"/>
        <v>1417043.7</v>
      </c>
      <c r="U81" s="36">
        <f t="shared" si="18"/>
        <v>4534487228.28</v>
      </c>
      <c r="V81" s="118">
        <v>3347.94</v>
      </c>
      <c r="W81" s="37">
        <f t="shared" si="20"/>
        <v>4744177284.98</v>
      </c>
      <c r="X81" s="36">
        <f t="shared" si="19"/>
        <v>0</v>
      </c>
      <c r="Z81" s="1"/>
      <c r="AA81" s="1"/>
      <c r="AB81" s="36">
        <f t="shared" si="14"/>
        <v>209690056.7</v>
      </c>
      <c r="AC81" s="36">
        <v>209690056.7</v>
      </c>
    </row>
    <row r="82" spans="1:29" ht="12" customHeight="1" outlineLevel="1">
      <c r="A82" s="217"/>
      <c r="B82" s="49"/>
      <c r="C82" s="31" t="s">
        <v>360</v>
      </c>
      <c r="D82" s="5" t="s">
        <v>349</v>
      </c>
      <c r="E82" s="5">
        <v>1042</v>
      </c>
      <c r="F82" s="3">
        <v>10000705</v>
      </c>
      <c r="G82" s="113">
        <v>36685</v>
      </c>
      <c r="H82" s="49" t="s">
        <v>361</v>
      </c>
      <c r="I82" s="5" t="s">
        <v>9</v>
      </c>
      <c r="J82" s="36">
        <v>4051069.87</v>
      </c>
      <c r="K82" s="57">
        <v>12960223238.8</v>
      </c>
      <c r="L82" s="36"/>
      <c r="M82" s="36"/>
      <c r="N82" s="36">
        <v>311600</v>
      </c>
      <c r="O82" s="36">
        <v>1033831154</v>
      </c>
      <c r="P82" s="36"/>
      <c r="Q82" s="36"/>
      <c r="R82" s="36">
        <f t="shared" si="16"/>
        <v>311600</v>
      </c>
      <c r="S82" s="36">
        <f t="shared" si="16"/>
        <v>1033831154</v>
      </c>
      <c r="T82" s="36">
        <f t="shared" si="17"/>
        <v>3739469.87</v>
      </c>
      <c r="U82" s="36">
        <f t="shared" si="18"/>
        <v>11926392084.8</v>
      </c>
      <c r="V82" s="118">
        <v>3347.94</v>
      </c>
      <c r="W82" s="37">
        <f t="shared" si="20"/>
        <v>12519520756.57</v>
      </c>
      <c r="X82" s="36">
        <f t="shared" si="19"/>
        <v>0</v>
      </c>
      <c r="Z82" s="1"/>
      <c r="AA82" s="1"/>
      <c r="AB82" s="36">
        <f t="shared" si="14"/>
        <v>593128671.77</v>
      </c>
      <c r="AC82" s="36">
        <v>593128671.77</v>
      </c>
    </row>
    <row r="83" spans="1:29" ht="12" customHeight="1" outlineLevel="1">
      <c r="A83" s="217"/>
      <c r="B83" s="49"/>
      <c r="C83" s="31" t="s">
        <v>362</v>
      </c>
      <c r="D83" s="5" t="s">
        <v>349</v>
      </c>
      <c r="E83" s="5">
        <v>1040</v>
      </c>
      <c r="F83" s="3">
        <v>10000805</v>
      </c>
      <c r="G83" s="113">
        <v>36685</v>
      </c>
      <c r="H83" s="49" t="s">
        <v>363</v>
      </c>
      <c r="I83" s="5" t="s">
        <v>9</v>
      </c>
      <c r="J83" s="36">
        <v>1123800</v>
      </c>
      <c r="K83" s="57">
        <v>3595272198</v>
      </c>
      <c r="L83" s="36"/>
      <c r="M83" s="36"/>
      <c r="N83" s="36">
        <v>86420</v>
      </c>
      <c r="O83" s="36">
        <v>286725572.3</v>
      </c>
      <c r="P83" s="36"/>
      <c r="Q83" s="36"/>
      <c r="R83" s="36">
        <f t="shared" si="16"/>
        <v>86420</v>
      </c>
      <c r="S83" s="36">
        <f t="shared" si="16"/>
        <v>286725572.3</v>
      </c>
      <c r="T83" s="36">
        <f t="shared" si="17"/>
        <v>1037380</v>
      </c>
      <c r="U83" s="36">
        <f t="shared" si="18"/>
        <v>3308546625.7</v>
      </c>
      <c r="V83" s="118">
        <v>3347.94</v>
      </c>
      <c r="W83" s="37">
        <f t="shared" si="20"/>
        <v>3473085997.2</v>
      </c>
      <c r="X83" s="36">
        <f t="shared" si="19"/>
        <v>0</v>
      </c>
      <c r="Z83" s="1"/>
      <c r="AA83" s="1"/>
      <c r="AB83" s="36">
        <f t="shared" si="14"/>
        <v>164539371.5</v>
      </c>
      <c r="AC83" s="36">
        <v>164539371.5</v>
      </c>
    </row>
    <row r="84" spans="1:29" ht="12" customHeight="1" outlineLevel="1">
      <c r="A84" s="217"/>
      <c r="B84" s="49"/>
      <c r="C84" s="31" t="s">
        <v>364</v>
      </c>
      <c r="D84" s="5" t="s">
        <v>349</v>
      </c>
      <c r="E84" s="5">
        <v>1119</v>
      </c>
      <c r="F84" s="3">
        <v>10000605</v>
      </c>
      <c r="G84" s="113">
        <v>37313</v>
      </c>
      <c r="H84" s="49" t="s">
        <v>365</v>
      </c>
      <c r="I84" s="5" t="s">
        <v>9</v>
      </c>
      <c r="J84" s="36">
        <v>2363620</v>
      </c>
      <c r="K84" s="57">
        <v>7561716740.2</v>
      </c>
      <c r="L84" s="36"/>
      <c r="M84" s="36"/>
      <c r="N84" s="36">
        <v>138733.95</v>
      </c>
      <c r="O84" s="36">
        <v>429339590.62</v>
      </c>
      <c r="P84" s="36"/>
      <c r="Q84" s="36"/>
      <c r="R84" s="36">
        <f t="shared" si="16"/>
        <v>138733.95</v>
      </c>
      <c r="S84" s="131">
        <f>277565502.9+151774087.72</f>
        <v>429339590.62</v>
      </c>
      <c r="T84" s="36">
        <f t="shared" si="17"/>
        <v>2224886.05</v>
      </c>
      <c r="U84" s="36">
        <f t="shared" si="18"/>
        <v>7132377149.58</v>
      </c>
      <c r="V84" s="118">
        <v>3347.94</v>
      </c>
      <c r="W84" s="37">
        <f t="shared" si="20"/>
        <v>7448785002.24</v>
      </c>
      <c r="X84" s="36">
        <f t="shared" si="19"/>
        <v>0</v>
      </c>
      <c r="Z84" s="1"/>
      <c r="AA84" s="1"/>
      <c r="AB84" s="36">
        <f t="shared" si="14"/>
        <v>316407852.66</v>
      </c>
      <c r="AC84" s="131">
        <v>316407852.66</v>
      </c>
    </row>
    <row r="85" spans="1:29" ht="12" customHeight="1" outlineLevel="1">
      <c r="A85" s="217"/>
      <c r="B85" s="49"/>
      <c r="C85" s="31" t="s">
        <v>366</v>
      </c>
      <c r="D85" s="5" t="s">
        <v>349</v>
      </c>
      <c r="E85" s="5">
        <v>1124</v>
      </c>
      <c r="F85" s="3" t="s">
        <v>367</v>
      </c>
      <c r="G85" s="113">
        <v>38119</v>
      </c>
      <c r="H85" s="49" t="s">
        <v>368</v>
      </c>
      <c r="I85" s="5" t="s">
        <v>9</v>
      </c>
      <c r="J85" s="36">
        <v>4968966.5</v>
      </c>
      <c r="K85" s="57">
        <v>15896767316.47</v>
      </c>
      <c r="L85" s="36"/>
      <c r="M85" s="36"/>
      <c r="N85" s="36">
        <v>382220</v>
      </c>
      <c r="O85" s="36">
        <v>1253184714</v>
      </c>
      <c r="P85" s="36"/>
      <c r="Q85" s="36"/>
      <c r="R85" s="36">
        <f t="shared" si="16"/>
        <v>382220</v>
      </c>
      <c r="S85" s="36">
        <f t="shared" si="16"/>
        <v>1253184714</v>
      </c>
      <c r="T85" s="36">
        <f t="shared" si="17"/>
        <v>4586746.5</v>
      </c>
      <c r="U85" s="36">
        <f t="shared" si="18"/>
        <v>14643582602.47</v>
      </c>
      <c r="V85" s="118">
        <v>3347.94</v>
      </c>
      <c r="W85" s="37">
        <f t="shared" si="20"/>
        <v>15356152077.21</v>
      </c>
      <c r="X85" s="36">
        <f t="shared" si="19"/>
        <v>0</v>
      </c>
      <c r="Z85" s="1"/>
      <c r="AA85" s="1"/>
      <c r="AB85" s="36">
        <f t="shared" si="14"/>
        <v>712569474.74</v>
      </c>
      <c r="AC85" s="36">
        <v>712569474.74</v>
      </c>
    </row>
    <row r="86" spans="1:29" ht="12" customHeight="1" outlineLevel="1">
      <c r="A86" s="217"/>
      <c r="B86" s="49"/>
      <c r="C86" s="31" t="s">
        <v>369</v>
      </c>
      <c r="D86" s="5" t="s">
        <v>349</v>
      </c>
      <c r="E86" s="5">
        <v>1145</v>
      </c>
      <c r="F86" s="3" t="s">
        <v>370</v>
      </c>
      <c r="G86" s="113">
        <v>38707</v>
      </c>
      <c r="H86" s="49" t="s">
        <v>371</v>
      </c>
      <c r="I86" s="5" t="s">
        <v>9</v>
      </c>
      <c r="J86" s="36">
        <v>3648218.62</v>
      </c>
      <c r="K86" s="57">
        <v>11671417491.29</v>
      </c>
      <c r="L86" s="36"/>
      <c r="M86" s="36"/>
      <c r="N86" s="36">
        <v>364820</v>
      </c>
      <c r="O86" s="36">
        <f>564288983.2+583947308.9</f>
        <v>1148236292.1</v>
      </c>
      <c r="P86" s="36"/>
      <c r="Q86" s="36"/>
      <c r="R86" s="36">
        <f t="shared" si="16"/>
        <v>364820</v>
      </c>
      <c r="S86" s="36">
        <f t="shared" si="16"/>
        <v>1148236292.1</v>
      </c>
      <c r="T86" s="36">
        <f t="shared" si="17"/>
        <v>3283398.62</v>
      </c>
      <c r="U86" s="36">
        <f t="shared" si="18"/>
        <v>10523181199.19</v>
      </c>
      <c r="V86" s="118">
        <v>3347.94</v>
      </c>
      <c r="W86" s="37">
        <f t="shared" si="20"/>
        <v>10992621575.84</v>
      </c>
      <c r="X86" s="36">
        <f t="shared" si="19"/>
        <v>0</v>
      </c>
      <c r="Z86" s="1"/>
      <c r="AA86" s="1"/>
      <c r="AB86" s="36">
        <f t="shared" si="14"/>
        <v>469440376.65</v>
      </c>
      <c r="AC86" s="36">
        <v>469440376.65</v>
      </c>
    </row>
    <row r="87" spans="1:29" ht="12" customHeight="1" outlineLevel="1">
      <c r="A87" s="217"/>
      <c r="B87" s="49"/>
      <c r="C87" s="31" t="s">
        <v>372</v>
      </c>
      <c r="D87" s="5" t="s">
        <v>349</v>
      </c>
      <c r="E87" s="5">
        <v>1134</v>
      </c>
      <c r="F87" s="3" t="s">
        <v>373</v>
      </c>
      <c r="G87" s="113">
        <v>38364</v>
      </c>
      <c r="H87" s="49" t="s">
        <v>374</v>
      </c>
      <c r="I87" s="5" t="s">
        <v>9</v>
      </c>
      <c r="J87" s="36">
        <v>3361713.33</v>
      </c>
      <c r="K87" s="57">
        <v>10754826902.47</v>
      </c>
      <c r="L87" s="36"/>
      <c r="M87" s="36"/>
      <c r="N87" s="36">
        <v>258600</v>
      </c>
      <c r="O87" s="36">
        <v>813918933</v>
      </c>
      <c r="P87" s="36"/>
      <c r="Q87" s="36"/>
      <c r="R87" s="36">
        <f t="shared" si="16"/>
        <v>258600</v>
      </c>
      <c r="S87" s="36">
        <f t="shared" si="16"/>
        <v>813918933</v>
      </c>
      <c r="T87" s="36">
        <f t="shared" si="17"/>
        <v>3103113.33</v>
      </c>
      <c r="U87" s="36">
        <f t="shared" si="18"/>
        <v>9940907969.47</v>
      </c>
      <c r="V87" s="118">
        <v>3347.94</v>
      </c>
      <c r="W87" s="37">
        <f t="shared" si="20"/>
        <v>10389037242.04</v>
      </c>
      <c r="X87" s="36">
        <f t="shared" si="19"/>
        <v>0</v>
      </c>
      <c r="Z87" s="1"/>
      <c r="AA87" s="1"/>
      <c r="AB87" s="36">
        <f t="shared" si="14"/>
        <v>448129272.57</v>
      </c>
      <c r="AC87" s="131">
        <v>448129272.57</v>
      </c>
    </row>
    <row r="88" spans="1:29" ht="12" customHeight="1" outlineLevel="1">
      <c r="A88" s="217"/>
      <c r="B88" s="49"/>
      <c r="C88" s="31" t="s">
        <v>375</v>
      </c>
      <c r="D88" s="5" t="s">
        <v>349</v>
      </c>
      <c r="E88" s="5">
        <v>1144</v>
      </c>
      <c r="F88" s="3" t="s">
        <v>376</v>
      </c>
      <c r="G88" s="113">
        <v>38707</v>
      </c>
      <c r="H88" s="49" t="s">
        <v>377</v>
      </c>
      <c r="I88" s="5" t="s">
        <v>9</v>
      </c>
      <c r="J88" s="36">
        <v>2572332.67</v>
      </c>
      <c r="K88" s="57">
        <v>8229432401.19</v>
      </c>
      <c r="L88" s="36"/>
      <c r="M88" s="36"/>
      <c r="N88" s="36">
        <v>257220</v>
      </c>
      <c r="O88" s="36">
        <v>809575514.1</v>
      </c>
      <c r="P88" s="36"/>
      <c r="Q88" s="36"/>
      <c r="R88" s="36">
        <f t="shared" si="16"/>
        <v>257220</v>
      </c>
      <c r="S88" s="36">
        <f t="shared" si="16"/>
        <v>809575514.1</v>
      </c>
      <c r="T88" s="36">
        <f t="shared" si="17"/>
        <v>2315112.67</v>
      </c>
      <c r="U88" s="36">
        <f t="shared" si="18"/>
        <v>7419856887.09</v>
      </c>
      <c r="V88" s="118">
        <v>3347.94</v>
      </c>
      <c r="W88" s="37">
        <f t="shared" si="20"/>
        <v>7750858312.4</v>
      </c>
      <c r="X88" s="36">
        <f t="shared" si="19"/>
        <v>0</v>
      </c>
      <c r="Z88" s="1"/>
      <c r="AA88" s="1"/>
      <c r="AB88" s="36">
        <f t="shared" si="14"/>
        <v>331001425.31</v>
      </c>
      <c r="AC88" s="36">
        <v>331001425.31</v>
      </c>
    </row>
    <row r="89" spans="1:29" ht="12" customHeight="1" outlineLevel="1">
      <c r="A89" s="217"/>
      <c r="B89" s="49"/>
      <c r="C89" s="31" t="s">
        <v>378</v>
      </c>
      <c r="D89" s="5" t="s">
        <v>349</v>
      </c>
      <c r="E89" s="5">
        <v>1212</v>
      </c>
      <c r="F89" s="3" t="s">
        <v>379</v>
      </c>
      <c r="G89" s="113">
        <v>39331</v>
      </c>
      <c r="H89" s="49" t="s">
        <v>380</v>
      </c>
      <c r="I89" s="5" t="s">
        <v>9</v>
      </c>
      <c r="J89" s="36">
        <v>2115689.12</v>
      </c>
      <c r="K89" s="57">
        <v>6768533789.6</v>
      </c>
      <c r="L89" s="36"/>
      <c r="M89" s="36"/>
      <c r="N89" s="36">
        <v>183970</v>
      </c>
      <c r="O89" s="36">
        <v>572771278.15</v>
      </c>
      <c r="P89" s="36"/>
      <c r="Q89" s="36"/>
      <c r="R89" s="36">
        <f t="shared" si="16"/>
        <v>183970</v>
      </c>
      <c r="S89" s="36">
        <f t="shared" si="16"/>
        <v>572771278.15</v>
      </c>
      <c r="T89" s="36">
        <f t="shared" si="17"/>
        <v>1931719.12</v>
      </c>
      <c r="U89" s="36">
        <f t="shared" si="18"/>
        <v>6195762511.45</v>
      </c>
      <c r="V89" s="118">
        <v>3347.94</v>
      </c>
      <c r="W89" s="37">
        <f t="shared" si="20"/>
        <v>6467279710.61</v>
      </c>
      <c r="X89" s="36">
        <f t="shared" si="19"/>
        <v>0</v>
      </c>
      <c r="Z89" s="1"/>
      <c r="AA89" s="1"/>
      <c r="AB89" s="36">
        <f t="shared" si="14"/>
        <v>271517199.16</v>
      </c>
      <c r="AC89" s="36">
        <v>271517199.16</v>
      </c>
    </row>
    <row r="90" spans="1:28" ht="12" customHeight="1" outlineLevel="1">
      <c r="A90" s="217"/>
      <c r="B90" s="49"/>
      <c r="C90" s="31" t="s">
        <v>381</v>
      </c>
      <c r="D90" s="5" t="s">
        <v>349</v>
      </c>
      <c r="E90" s="5">
        <v>1254</v>
      </c>
      <c r="F90" s="3" t="s">
        <v>382</v>
      </c>
      <c r="G90" s="113">
        <v>39756</v>
      </c>
      <c r="H90" s="31" t="s">
        <v>383</v>
      </c>
      <c r="I90" s="5" t="s">
        <v>9</v>
      </c>
      <c r="J90" s="36">
        <v>3672496.86</v>
      </c>
      <c r="K90" s="57">
        <v>11749088679.48</v>
      </c>
      <c r="L90" s="36">
        <v>238788.89</v>
      </c>
      <c r="M90" s="36">
        <v>744717411.43</v>
      </c>
      <c r="N90" s="36">
        <v>333320</v>
      </c>
      <c r="O90" s="36">
        <v>1092856284</v>
      </c>
      <c r="P90" s="36"/>
      <c r="Q90" s="36"/>
      <c r="R90" s="36">
        <f t="shared" si="16"/>
        <v>333320</v>
      </c>
      <c r="S90" s="36">
        <f t="shared" si="16"/>
        <v>1092856284</v>
      </c>
      <c r="T90" s="36">
        <f t="shared" si="17"/>
        <v>3577965.75</v>
      </c>
      <c r="U90" s="36">
        <f t="shared" si="18"/>
        <v>11400949806.91</v>
      </c>
      <c r="V90" s="118">
        <v>3347.94</v>
      </c>
      <c r="W90" s="37">
        <f t="shared" si="20"/>
        <v>11978814653.06</v>
      </c>
      <c r="X90" s="36">
        <f t="shared" si="19"/>
        <v>577864846.15</v>
      </c>
      <c r="Z90" s="1"/>
      <c r="AA90" s="1"/>
      <c r="AB90" s="36">
        <f t="shared" si="14"/>
        <v>0</v>
      </c>
    </row>
    <row r="91" spans="1:29" ht="12" customHeight="1" outlineLevel="1">
      <c r="A91" s="217"/>
      <c r="B91" s="49"/>
      <c r="C91" s="31" t="s">
        <v>384</v>
      </c>
      <c r="D91" s="5" t="s">
        <v>349</v>
      </c>
      <c r="E91" s="5">
        <v>1262</v>
      </c>
      <c r="F91" s="3" t="s">
        <v>385</v>
      </c>
      <c r="G91" s="113">
        <v>39996</v>
      </c>
      <c r="H91" s="31" t="s">
        <v>386</v>
      </c>
      <c r="I91" s="5" t="s">
        <v>9</v>
      </c>
      <c r="J91" s="36">
        <v>8609901.4</v>
      </c>
      <c r="K91" s="57">
        <v>27544882657.89</v>
      </c>
      <c r="L91" s="36"/>
      <c r="M91" s="36"/>
      <c r="N91" s="36">
        <v>637760</v>
      </c>
      <c r="O91" s="36">
        <v>2007289012.8</v>
      </c>
      <c r="P91" s="36"/>
      <c r="Q91" s="36"/>
      <c r="R91" s="36">
        <f t="shared" si="16"/>
        <v>637760</v>
      </c>
      <c r="S91" s="36">
        <f t="shared" si="16"/>
        <v>2007289012.8</v>
      </c>
      <c r="T91" s="36">
        <f t="shared" si="17"/>
        <v>7972141.4</v>
      </c>
      <c r="U91" s="36">
        <f t="shared" si="18"/>
        <v>25537593645.09</v>
      </c>
      <c r="V91" s="118">
        <v>3347.94</v>
      </c>
      <c r="W91" s="37">
        <f t="shared" si="20"/>
        <v>26690251078.72</v>
      </c>
      <c r="X91" s="36">
        <f t="shared" si="19"/>
        <v>0</v>
      </c>
      <c r="Z91" s="17"/>
      <c r="AA91" s="17"/>
      <c r="AB91" s="36">
        <f t="shared" si="14"/>
        <v>1152657433.63</v>
      </c>
      <c r="AC91" s="36">
        <v>1152657433.63</v>
      </c>
    </row>
    <row r="92" spans="1:28" ht="12" customHeight="1" outlineLevel="1">
      <c r="A92" s="217"/>
      <c r="B92" s="49"/>
      <c r="C92" s="31" t="s">
        <v>389</v>
      </c>
      <c r="D92" s="5" t="s">
        <v>349</v>
      </c>
      <c r="E92" s="5">
        <v>1275</v>
      </c>
      <c r="F92" s="3" t="s">
        <v>390</v>
      </c>
      <c r="G92" s="113">
        <v>41596</v>
      </c>
      <c r="H92" s="31" t="s">
        <v>391</v>
      </c>
      <c r="I92" s="5" t="s">
        <v>9</v>
      </c>
      <c r="J92" s="36">
        <v>3134503.01</v>
      </c>
      <c r="K92" s="57">
        <v>10027933374.62</v>
      </c>
      <c r="L92" s="36">
        <f>118321.66+1247192.37</f>
        <v>1365514.03</v>
      </c>
      <c r="M92" s="36">
        <f>379120346.89+3920635333.7</f>
        <v>4299755680.59</v>
      </c>
      <c r="N92" s="36">
        <v>0</v>
      </c>
      <c r="O92" s="36">
        <v>0</v>
      </c>
      <c r="P92" s="36"/>
      <c r="Q92" s="36"/>
      <c r="R92" s="36">
        <f t="shared" si="16"/>
        <v>0</v>
      </c>
      <c r="S92" s="36">
        <f t="shared" si="16"/>
        <v>0</v>
      </c>
      <c r="T92" s="36">
        <f t="shared" si="17"/>
        <v>4500017.04</v>
      </c>
      <c r="U92" s="36">
        <f t="shared" si="18"/>
        <v>14315185580.25</v>
      </c>
      <c r="V92" s="118">
        <v>3347.94</v>
      </c>
      <c r="W92" s="37">
        <f t="shared" si="20"/>
        <v>15065787048.9</v>
      </c>
      <c r="X92" s="36">
        <f t="shared" si="19"/>
        <v>750601468.65</v>
      </c>
      <c r="Z92" s="22">
        <v>12503474.96</v>
      </c>
      <c r="AA92" s="22"/>
      <c r="AB92" s="36">
        <f t="shared" si="14"/>
        <v>0</v>
      </c>
    </row>
    <row r="93" spans="1:28" ht="12" customHeight="1" outlineLevel="1">
      <c r="A93" s="217"/>
      <c r="B93" s="49"/>
      <c r="C93" s="31" t="s">
        <v>387</v>
      </c>
      <c r="D93" s="5" t="s">
        <v>349</v>
      </c>
      <c r="E93" s="5">
        <v>1274</v>
      </c>
      <c r="F93" s="3" t="s">
        <v>388</v>
      </c>
      <c r="G93" s="113">
        <v>41393</v>
      </c>
      <c r="H93" s="31" t="s">
        <v>484</v>
      </c>
      <c r="I93" s="5" t="s">
        <v>9</v>
      </c>
      <c r="J93" s="36">
        <v>3257949.25</v>
      </c>
      <c r="K93" s="57">
        <v>10422863820.09</v>
      </c>
      <c r="L93" s="36">
        <v>237380.07</v>
      </c>
      <c r="M93" s="36">
        <v>760249252.59</v>
      </c>
      <c r="N93" s="36">
        <v>0</v>
      </c>
      <c r="O93" s="36">
        <v>0</v>
      </c>
      <c r="P93" s="36"/>
      <c r="Q93" s="36"/>
      <c r="R93" s="36">
        <f aca="true" t="shared" si="21" ref="R93:S96">+N93+P93</f>
        <v>0</v>
      </c>
      <c r="S93" s="36">
        <f t="shared" si="21"/>
        <v>0</v>
      </c>
      <c r="T93" s="36">
        <f>+J93+L93-R93</f>
        <v>3495329.32</v>
      </c>
      <c r="U93" s="36">
        <f t="shared" si="18"/>
        <v>11178477918.56</v>
      </c>
      <c r="V93" s="118">
        <v>3347.94</v>
      </c>
      <c r="W93" s="37">
        <f>T93*V93</f>
        <v>11702152843.6</v>
      </c>
      <c r="X93" s="36">
        <f t="shared" si="19"/>
        <v>523674925.04</v>
      </c>
      <c r="Z93" s="22">
        <v>4635154.12</v>
      </c>
      <c r="AA93" s="22"/>
      <c r="AB93" s="36">
        <f t="shared" si="14"/>
        <v>0</v>
      </c>
    </row>
    <row r="94" spans="1:28" ht="12" customHeight="1" outlineLevel="1">
      <c r="A94" s="217"/>
      <c r="B94" s="49"/>
      <c r="C94" s="31" t="s">
        <v>485</v>
      </c>
      <c r="D94" s="5" t="s">
        <v>349</v>
      </c>
      <c r="E94" s="5">
        <v>1299</v>
      </c>
      <c r="F94" s="3" t="s">
        <v>486</v>
      </c>
      <c r="G94" s="113">
        <v>42171</v>
      </c>
      <c r="H94" s="31" t="s">
        <v>487</v>
      </c>
      <c r="I94" s="5" t="s">
        <v>9</v>
      </c>
      <c r="J94" s="36"/>
      <c r="K94" s="57"/>
      <c r="L94" s="36"/>
      <c r="M94" s="36"/>
      <c r="N94" s="36">
        <v>0</v>
      </c>
      <c r="O94" s="36">
        <v>0</v>
      </c>
      <c r="P94" s="36"/>
      <c r="Q94" s="36"/>
      <c r="R94" s="36">
        <f t="shared" si="21"/>
        <v>0</v>
      </c>
      <c r="S94" s="36">
        <f t="shared" si="21"/>
        <v>0</v>
      </c>
      <c r="T94" s="36"/>
      <c r="U94" s="36">
        <f t="shared" si="18"/>
        <v>0</v>
      </c>
      <c r="V94" s="118">
        <v>3347.94</v>
      </c>
      <c r="W94" s="37"/>
      <c r="X94" s="36">
        <f t="shared" si="19"/>
        <v>0</v>
      </c>
      <c r="Z94" s="17"/>
      <c r="AA94" s="17"/>
      <c r="AB94" s="36">
        <f t="shared" si="14"/>
        <v>0</v>
      </c>
    </row>
    <row r="95" spans="1:28" ht="12" customHeight="1" outlineLevel="1">
      <c r="A95" s="217"/>
      <c r="B95" s="49"/>
      <c r="C95" s="31" t="s">
        <v>488</v>
      </c>
      <c r="D95" s="5" t="s">
        <v>349</v>
      </c>
      <c r="E95" s="5">
        <v>1300</v>
      </c>
      <c r="F95" s="3" t="s">
        <v>489</v>
      </c>
      <c r="G95" s="113">
        <v>42171</v>
      </c>
      <c r="H95" s="31" t="s">
        <v>490</v>
      </c>
      <c r="I95" s="5" t="s">
        <v>9</v>
      </c>
      <c r="J95" s="36"/>
      <c r="K95" s="57"/>
      <c r="L95" s="36">
        <v>500000</v>
      </c>
      <c r="M95" s="36">
        <v>1525290000</v>
      </c>
      <c r="N95" s="36">
        <v>0</v>
      </c>
      <c r="O95" s="36">
        <v>0</v>
      </c>
      <c r="P95" s="36"/>
      <c r="Q95" s="36"/>
      <c r="R95" s="36">
        <f t="shared" si="21"/>
        <v>0</v>
      </c>
      <c r="S95" s="36">
        <f t="shared" si="21"/>
        <v>0</v>
      </c>
      <c r="T95" s="36"/>
      <c r="U95" s="36">
        <f t="shared" si="18"/>
        <v>1525290000</v>
      </c>
      <c r="V95" s="118">
        <v>3347.94</v>
      </c>
      <c r="W95" s="37"/>
      <c r="X95" s="36">
        <f t="shared" si="19"/>
        <v>-1525290000</v>
      </c>
      <c r="Z95" s="17"/>
      <c r="AA95" s="17"/>
      <c r="AB95" s="36">
        <f t="shared" si="14"/>
        <v>0</v>
      </c>
    </row>
    <row r="96" spans="1:28" ht="12" customHeight="1" outlineLevel="1">
      <c r="A96" s="217"/>
      <c r="B96" s="49"/>
      <c r="C96" s="31" t="s">
        <v>491</v>
      </c>
      <c r="D96" s="5" t="s">
        <v>492</v>
      </c>
      <c r="E96" s="5">
        <v>1324</v>
      </c>
      <c r="F96" s="3" t="s">
        <v>493</v>
      </c>
      <c r="G96" s="113">
        <v>42475</v>
      </c>
      <c r="H96" s="31" t="s">
        <v>494</v>
      </c>
      <c r="I96" s="5" t="s">
        <v>9</v>
      </c>
      <c r="J96" s="36"/>
      <c r="K96" s="57"/>
      <c r="L96" s="36"/>
      <c r="M96" s="36"/>
      <c r="N96" s="36">
        <v>0</v>
      </c>
      <c r="O96" s="36">
        <v>0</v>
      </c>
      <c r="P96" s="36"/>
      <c r="Q96" s="36"/>
      <c r="R96" s="36">
        <f t="shared" si="21"/>
        <v>0</v>
      </c>
      <c r="S96" s="36">
        <f t="shared" si="21"/>
        <v>0</v>
      </c>
      <c r="T96" s="36"/>
      <c r="U96" s="36">
        <f t="shared" si="18"/>
        <v>0</v>
      </c>
      <c r="V96" s="118">
        <v>3347.94</v>
      </c>
      <c r="W96" s="37"/>
      <c r="X96" s="36">
        <f t="shared" si="19"/>
        <v>0</v>
      </c>
      <c r="Z96" s="17"/>
      <c r="AA96" s="17"/>
      <c r="AB96" s="36">
        <f t="shared" si="14"/>
        <v>0</v>
      </c>
    </row>
    <row r="97" spans="1:28" ht="12" customHeight="1" outlineLevel="1">
      <c r="A97" s="217"/>
      <c r="G97" s="121"/>
      <c r="H97" s="60" t="s">
        <v>392</v>
      </c>
      <c r="I97" s="5"/>
      <c r="J97" s="15">
        <f>SUM(J77:J96)</f>
        <v>48955286.28</v>
      </c>
      <c r="K97" s="15">
        <f aca="true" t="shared" si="22" ref="K97:U97">SUM(K77:K96)</f>
        <v>156618241419.83</v>
      </c>
      <c r="L97" s="15">
        <f>SUM(L77:L96)</f>
        <v>2341682.99</v>
      </c>
      <c r="M97" s="15">
        <f t="shared" si="22"/>
        <v>7330012344.61</v>
      </c>
      <c r="N97" s="15">
        <f t="shared" si="22"/>
        <v>3431243.95</v>
      </c>
      <c r="O97" s="15">
        <f t="shared" si="22"/>
        <v>10979585488.67</v>
      </c>
      <c r="P97" s="15">
        <f t="shared" si="22"/>
        <v>0</v>
      </c>
      <c r="Q97" s="15">
        <f t="shared" si="22"/>
        <v>0</v>
      </c>
      <c r="R97" s="15">
        <f t="shared" si="22"/>
        <v>3431243.95</v>
      </c>
      <c r="S97" s="15">
        <f t="shared" si="22"/>
        <v>10979585488.67</v>
      </c>
      <c r="T97" s="15">
        <f t="shared" si="22"/>
        <v>47365725.32</v>
      </c>
      <c r="U97" s="15">
        <f t="shared" si="22"/>
        <v>152951529646.69</v>
      </c>
      <c r="V97" s="15"/>
      <c r="W97" s="43">
        <f>SUM(W77:W96)</f>
        <v>158577606427.85</v>
      </c>
      <c r="X97" s="43">
        <f>SUM(X77:X96)</f>
        <v>326851239.84</v>
      </c>
      <c r="Z97" s="17"/>
      <c r="AA97" s="17"/>
      <c r="AB97" s="36">
        <f t="shared" si="14"/>
        <v>0</v>
      </c>
    </row>
    <row r="98" spans="1:28" ht="7.5" customHeight="1">
      <c r="A98" s="217"/>
      <c r="H98" s="75"/>
      <c r="I98" s="74"/>
      <c r="J98" s="47"/>
      <c r="K98" s="46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8"/>
      <c r="X98" s="47"/>
      <c r="Z98" s="17"/>
      <c r="AA98" s="17"/>
      <c r="AB98" s="36">
        <f t="shared" si="14"/>
        <v>0</v>
      </c>
    </row>
    <row r="99" spans="1:28" ht="11.25">
      <c r="A99" s="217"/>
      <c r="C99" s="49"/>
      <c r="D99" s="5"/>
      <c r="E99" s="49"/>
      <c r="F99" s="16"/>
      <c r="G99" s="113"/>
      <c r="H99" s="27" t="s">
        <v>160</v>
      </c>
      <c r="I99" s="5"/>
      <c r="J99" s="47"/>
      <c r="K99" s="46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8"/>
      <c r="X99" s="47"/>
      <c r="Z99" s="17"/>
      <c r="AA99" s="17"/>
      <c r="AB99" s="36">
        <f t="shared" si="14"/>
        <v>0</v>
      </c>
    </row>
    <row r="100" spans="1:28" ht="11.25" outlineLevel="1">
      <c r="A100" s="217"/>
      <c r="B100" s="49"/>
      <c r="C100" s="49" t="s">
        <v>159</v>
      </c>
      <c r="D100" s="5" t="s">
        <v>160</v>
      </c>
      <c r="E100" s="3">
        <v>1287</v>
      </c>
      <c r="F100" s="3" t="s">
        <v>495</v>
      </c>
      <c r="G100" s="113">
        <v>41968</v>
      </c>
      <c r="H100" s="49" t="s">
        <v>161</v>
      </c>
      <c r="I100" s="45" t="s">
        <v>58</v>
      </c>
      <c r="J100" s="36">
        <v>40000000</v>
      </c>
      <c r="K100" s="132">
        <v>139904800000</v>
      </c>
      <c r="L100" s="36"/>
      <c r="M100" s="36"/>
      <c r="N100" s="15"/>
      <c r="O100" s="15"/>
      <c r="P100" s="133"/>
      <c r="Q100" s="15"/>
      <c r="R100" s="15"/>
      <c r="S100" s="15"/>
      <c r="T100" s="36">
        <f>+J100+L100-R100</f>
        <v>40000000</v>
      </c>
      <c r="U100" s="36">
        <f>+K100+M100-S100-Z100+AA100</f>
        <v>139904800000</v>
      </c>
      <c r="V100" s="118">
        <v>3509.53</v>
      </c>
      <c r="W100" s="37">
        <f>T100*V100</f>
        <v>140381200000</v>
      </c>
      <c r="X100" s="36">
        <f>+W100-U100-AB100</f>
        <v>476400000</v>
      </c>
      <c r="Z100" s="17"/>
      <c r="AA100" s="17"/>
      <c r="AB100" s="36">
        <f t="shared" si="14"/>
        <v>0</v>
      </c>
    </row>
    <row r="101" spans="1:28" ht="11.25" outlineLevel="1">
      <c r="A101" s="217"/>
      <c r="B101" s="49"/>
      <c r="C101" s="49" t="s">
        <v>496</v>
      </c>
      <c r="D101" s="5" t="s">
        <v>160</v>
      </c>
      <c r="E101" s="3" t="s">
        <v>497</v>
      </c>
      <c r="F101" s="3" t="s">
        <v>498</v>
      </c>
      <c r="G101" s="113">
        <v>42544</v>
      </c>
      <c r="H101" s="49" t="s">
        <v>161</v>
      </c>
      <c r="I101" s="45" t="s">
        <v>58</v>
      </c>
      <c r="J101" s="36"/>
      <c r="K101" s="132"/>
      <c r="L101" s="36"/>
      <c r="M101" s="36"/>
      <c r="N101" s="15"/>
      <c r="O101" s="15"/>
      <c r="P101" s="133"/>
      <c r="Q101" s="15"/>
      <c r="R101" s="15"/>
      <c r="S101" s="15"/>
      <c r="T101" s="36">
        <f>+J101+L101-R101</f>
        <v>0</v>
      </c>
      <c r="U101" s="36">
        <f>+K101+M101-S101-Z101+AA101</f>
        <v>0</v>
      </c>
      <c r="V101" s="118">
        <v>3509.53</v>
      </c>
      <c r="W101" s="37">
        <f>T101*V101</f>
        <v>0</v>
      </c>
      <c r="X101" s="36">
        <f>+W101-U101-AB101</f>
        <v>0</v>
      </c>
      <c r="Z101" s="17"/>
      <c r="AA101" s="17"/>
      <c r="AB101" s="36">
        <f t="shared" si="14"/>
        <v>0</v>
      </c>
    </row>
    <row r="102" spans="1:28" ht="11.25" outlineLevel="1">
      <c r="A102" s="217"/>
      <c r="H102" s="219" t="s">
        <v>162</v>
      </c>
      <c r="I102" s="219"/>
      <c r="J102" s="15">
        <f>SUM(J100:J101)</f>
        <v>40000000</v>
      </c>
      <c r="K102" s="15">
        <f>SUM(K100:K101)</f>
        <v>139904800000</v>
      </c>
      <c r="L102" s="15">
        <f aca="true" t="shared" si="23" ref="L102:T102">SUM(L100:L101)</f>
        <v>0</v>
      </c>
      <c r="M102" s="15">
        <f t="shared" si="23"/>
        <v>0</v>
      </c>
      <c r="N102" s="15">
        <f t="shared" si="23"/>
        <v>0</v>
      </c>
      <c r="O102" s="15">
        <f t="shared" si="23"/>
        <v>0</v>
      </c>
      <c r="P102" s="15">
        <f t="shared" si="23"/>
        <v>0</v>
      </c>
      <c r="Q102" s="15">
        <f t="shared" si="23"/>
        <v>0</v>
      </c>
      <c r="R102" s="15">
        <f t="shared" si="23"/>
        <v>0</v>
      </c>
      <c r="S102" s="15">
        <f t="shared" si="23"/>
        <v>0</v>
      </c>
      <c r="T102" s="15">
        <f t="shared" si="23"/>
        <v>40000000</v>
      </c>
      <c r="U102" s="15">
        <f>SUM(U100:U101)</f>
        <v>139904800000</v>
      </c>
      <c r="V102" s="14"/>
      <c r="W102" s="15">
        <f>SUM(W100:W101)</f>
        <v>140381200000</v>
      </c>
      <c r="X102" s="15">
        <f>SUM(X100:X101)</f>
        <v>476400000</v>
      </c>
      <c r="Z102" s="17"/>
      <c r="AA102" s="17"/>
      <c r="AB102" s="36">
        <f t="shared" si="14"/>
        <v>0</v>
      </c>
    </row>
    <row r="103" spans="1:28" ht="7.5" customHeight="1" outlineLevel="1">
      <c r="A103" s="217"/>
      <c r="D103" s="76"/>
      <c r="E103" s="64"/>
      <c r="F103" s="6"/>
      <c r="G103" s="116"/>
      <c r="H103" s="66"/>
      <c r="I103" s="45"/>
      <c r="J103" s="47"/>
      <c r="K103" s="7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8"/>
      <c r="X103" s="47"/>
      <c r="Z103" s="17"/>
      <c r="AA103" s="17"/>
      <c r="AB103" s="36">
        <f t="shared" si="14"/>
        <v>0</v>
      </c>
    </row>
    <row r="104" spans="1:28" ht="11.25" outlineLevel="1">
      <c r="A104" s="217"/>
      <c r="B104" s="146">
        <v>1621207</v>
      </c>
      <c r="C104" s="49"/>
      <c r="D104" s="5"/>
      <c r="E104" s="5"/>
      <c r="F104" s="3"/>
      <c r="G104" s="113"/>
      <c r="H104" s="27" t="s">
        <v>393</v>
      </c>
      <c r="I104" s="5"/>
      <c r="J104" s="36"/>
      <c r="K104" s="57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7"/>
      <c r="X104" s="36"/>
      <c r="Z104" s="17"/>
      <c r="AA104" s="17"/>
      <c r="AB104" s="36">
        <f t="shared" si="14"/>
        <v>0</v>
      </c>
    </row>
    <row r="105" spans="1:29" ht="11.25" outlineLevel="1">
      <c r="A105" s="217"/>
      <c r="B105" s="49"/>
      <c r="C105" s="31">
        <v>1621207</v>
      </c>
      <c r="D105" s="5" t="s">
        <v>393</v>
      </c>
      <c r="E105" s="5">
        <v>65</v>
      </c>
      <c r="F105" s="3" t="s">
        <v>499</v>
      </c>
      <c r="G105" s="113"/>
      <c r="H105" s="49" t="s">
        <v>394</v>
      </c>
      <c r="I105" s="5" t="s">
        <v>9</v>
      </c>
      <c r="J105" s="36">
        <v>73720715.27</v>
      </c>
      <c r="K105" s="57">
        <v>235848049498.94</v>
      </c>
      <c r="L105" s="36"/>
      <c r="M105" s="36"/>
      <c r="N105" s="36"/>
      <c r="O105" s="36"/>
      <c r="P105" s="36"/>
      <c r="Q105" s="36"/>
      <c r="R105" s="36">
        <f>+N105+P105</f>
        <v>0</v>
      </c>
      <c r="S105" s="36">
        <f>+O105+Q105</f>
        <v>0</v>
      </c>
      <c r="T105" s="36">
        <f>+J105+L105-R105</f>
        <v>73720715.27</v>
      </c>
      <c r="U105" s="36">
        <f>+K105+M105-S105-Z105+AA105</f>
        <v>235848049498.94</v>
      </c>
      <c r="V105" s="118">
        <v>3347.94</v>
      </c>
      <c r="W105" s="37">
        <f>T105*V105</f>
        <v>246812531481.04</v>
      </c>
      <c r="X105" s="36">
        <f>+W105-U105-AB105</f>
        <v>0</v>
      </c>
      <c r="Z105" s="17"/>
      <c r="AA105" s="17"/>
      <c r="AB105" s="36">
        <f t="shared" si="14"/>
        <v>10964481982.1</v>
      </c>
      <c r="AC105" s="36">
        <v>10964481982.1</v>
      </c>
    </row>
    <row r="106" spans="1:28" ht="11.25" outlineLevel="1">
      <c r="A106" s="217"/>
      <c r="C106" s="38"/>
      <c r="D106" s="74"/>
      <c r="E106" s="74"/>
      <c r="F106" s="8"/>
      <c r="G106" s="115"/>
      <c r="H106" s="146" t="s">
        <v>395</v>
      </c>
      <c r="I106" s="5"/>
      <c r="J106" s="15">
        <f aca="true" t="shared" si="24" ref="J106:U106">SUM(J105)</f>
        <v>73720715.27</v>
      </c>
      <c r="K106" s="67">
        <f>SUM(K105)</f>
        <v>235848049498.94</v>
      </c>
      <c r="L106" s="15">
        <f t="shared" si="24"/>
        <v>0</v>
      </c>
      <c r="M106" s="15">
        <f t="shared" si="24"/>
        <v>0</v>
      </c>
      <c r="N106" s="15">
        <f t="shared" si="24"/>
        <v>0</v>
      </c>
      <c r="O106" s="15">
        <f t="shared" si="24"/>
        <v>0</v>
      </c>
      <c r="P106" s="15">
        <f t="shared" si="24"/>
        <v>0</v>
      </c>
      <c r="Q106" s="15">
        <f t="shared" si="24"/>
        <v>0</v>
      </c>
      <c r="R106" s="15">
        <f t="shared" si="24"/>
        <v>0</v>
      </c>
      <c r="S106" s="15">
        <f t="shared" si="24"/>
        <v>0</v>
      </c>
      <c r="T106" s="15">
        <f t="shared" si="24"/>
        <v>73720715.27</v>
      </c>
      <c r="U106" s="15">
        <f t="shared" si="24"/>
        <v>235848049498.94</v>
      </c>
      <c r="V106" s="15"/>
      <c r="W106" s="43">
        <f>SUM(W105)</f>
        <v>246812531481.04</v>
      </c>
      <c r="X106" s="15">
        <f>SUM(X105)</f>
        <v>0</v>
      </c>
      <c r="Z106" s="17"/>
      <c r="AA106" s="17"/>
      <c r="AB106" s="36">
        <f t="shared" si="14"/>
        <v>0</v>
      </c>
    </row>
    <row r="107" spans="1:29" ht="7.5" customHeight="1" outlineLevel="1">
      <c r="A107" s="217"/>
      <c r="C107" s="38"/>
      <c r="D107" s="76"/>
      <c r="E107" s="76"/>
      <c r="F107" s="11"/>
      <c r="G107" s="116"/>
      <c r="H107" s="90"/>
      <c r="I107" s="45"/>
      <c r="J107" s="47"/>
      <c r="K107" s="46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8"/>
      <c r="X107" s="47"/>
      <c r="Z107" s="19"/>
      <c r="AA107" s="19"/>
      <c r="AB107" s="36">
        <f t="shared" si="14"/>
        <v>0</v>
      </c>
      <c r="AC107" s="92"/>
    </row>
    <row r="108" spans="1:29" s="19" customFormat="1" ht="11.25" outlineLevel="1">
      <c r="A108" s="217"/>
      <c r="B108" s="146">
        <v>1621308</v>
      </c>
      <c r="C108" s="40"/>
      <c r="D108" s="40"/>
      <c r="E108" s="27"/>
      <c r="F108" s="2"/>
      <c r="G108" s="134"/>
      <c r="H108" s="27" t="s">
        <v>409</v>
      </c>
      <c r="I108" s="27"/>
      <c r="J108" s="15"/>
      <c r="K108" s="67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43"/>
      <c r="X108" s="15"/>
      <c r="Y108" s="92"/>
      <c r="Z108" s="17"/>
      <c r="AA108" s="17"/>
      <c r="AB108" s="36">
        <f t="shared" si="14"/>
        <v>0</v>
      </c>
      <c r="AC108" s="22"/>
    </row>
    <row r="109" spans="1:28" ht="11.25" outlineLevel="1">
      <c r="A109" s="217"/>
      <c r="B109" s="49"/>
      <c r="C109" s="31" t="s">
        <v>500</v>
      </c>
      <c r="D109" s="5" t="s">
        <v>410</v>
      </c>
      <c r="E109" s="5">
        <v>1197</v>
      </c>
      <c r="F109" s="3" t="s">
        <v>411</v>
      </c>
      <c r="G109" s="113">
        <v>38964</v>
      </c>
      <c r="H109" s="49" t="s">
        <v>412</v>
      </c>
      <c r="I109" s="5" t="s">
        <v>413</v>
      </c>
      <c r="J109" s="36">
        <v>32000000</v>
      </c>
      <c r="K109" s="57">
        <v>27272000000</v>
      </c>
      <c r="L109" s="36"/>
      <c r="M109" s="36"/>
      <c r="N109" s="36">
        <v>800000</v>
      </c>
      <c r="O109" s="36">
        <v>654625941.31</v>
      </c>
      <c r="P109" s="36"/>
      <c r="Q109" s="36"/>
      <c r="R109" s="36">
        <f>+N109+P109</f>
        <v>800000</v>
      </c>
      <c r="S109" s="36">
        <f>+O109+Q109</f>
        <v>654625941.31</v>
      </c>
      <c r="T109" s="36">
        <f>+J109+L109-R109</f>
        <v>31200000</v>
      </c>
      <c r="U109" s="36">
        <f>+K109+M109-S109-Z109+AA109</f>
        <v>26617374058.69</v>
      </c>
      <c r="V109" s="36">
        <v>892.59</v>
      </c>
      <c r="W109" s="37">
        <f>T109*V109</f>
        <v>27848808000</v>
      </c>
      <c r="X109" s="36">
        <f>+W109-U109-AB109</f>
        <v>1231433941.31</v>
      </c>
      <c r="Z109" s="17"/>
      <c r="AA109" s="17"/>
      <c r="AB109" s="36">
        <f t="shared" si="14"/>
        <v>0</v>
      </c>
    </row>
    <row r="110" spans="1:28" ht="11.25" outlineLevel="1">
      <c r="A110" s="217"/>
      <c r="B110" s="49"/>
      <c r="C110" s="31" t="s">
        <v>501</v>
      </c>
      <c r="D110" s="5" t="s">
        <v>410</v>
      </c>
      <c r="E110" s="5"/>
      <c r="F110" s="3">
        <v>10000205</v>
      </c>
      <c r="G110" s="113">
        <v>38626</v>
      </c>
      <c r="H110" s="49" t="s">
        <v>414</v>
      </c>
      <c r="I110" s="5" t="s">
        <v>413</v>
      </c>
      <c r="J110" s="36">
        <v>31697717.33</v>
      </c>
      <c r="K110" s="57">
        <v>27014379594.49</v>
      </c>
      <c r="L110" s="36"/>
      <c r="M110" s="36"/>
      <c r="N110" s="36"/>
      <c r="O110" s="36"/>
      <c r="P110" s="36"/>
      <c r="Q110" s="36"/>
      <c r="R110" s="36">
        <f>+N110+P110</f>
        <v>0</v>
      </c>
      <c r="S110" s="36"/>
      <c r="T110" s="36">
        <f>+J110+L110-R110</f>
        <v>31697717.33</v>
      </c>
      <c r="U110" s="36">
        <f>+K110+M110-S110-Z110+AA110</f>
        <v>27014379594.49</v>
      </c>
      <c r="V110" s="36">
        <v>892.59</v>
      </c>
      <c r="W110" s="37">
        <f>T110*V110</f>
        <v>28293065511.58</v>
      </c>
      <c r="X110" s="36">
        <f>+W110-U110-AB110</f>
        <v>1278685917.09</v>
      </c>
      <c r="Z110" s="17"/>
      <c r="AA110" s="17"/>
      <c r="AB110" s="36">
        <f t="shared" si="14"/>
        <v>0</v>
      </c>
    </row>
    <row r="111" spans="1:28" ht="11.25" outlineLevel="1">
      <c r="A111" s="217"/>
      <c r="G111" s="135"/>
      <c r="H111" s="136" t="s">
        <v>415</v>
      </c>
      <c r="I111" s="5"/>
      <c r="J111" s="15">
        <f aca="true" t="shared" si="25" ref="J111:U111">SUM(J109:J110)</f>
        <v>63697717.33</v>
      </c>
      <c r="K111" s="15">
        <f t="shared" si="25"/>
        <v>54286379594.49</v>
      </c>
      <c r="L111" s="15">
        <f t="shared" si="25"/>
        <v>0</v>
      </c>
      <c r="M111" s="15">
        <f t="shared" si="25"/>
        <v>0</v>
      </c>
      <c r="N111" s="15">
        <f t="shared" si="25"/>
        <v>800000</v>
      </c>
      <c r="O111" s="15">
        <f t="shared" si="25"/>
        <v>654625941.31</v>
      </c>
      <c r="P111" s="15">
        <f t="shared" si="25"/>
        <v>0</v>
      </c>
      <c r="Q111" s="15">
        <f t="shared" si="25"/>
        <v>0</v>
      </c>
      <c r="R111" s="15">
        <f t="shared" si="25"/>
        <v>800000</v>
      </c>
      <c r="S111" s="15">
        <f t="shared" si="25"/>
        <v>654625941.31</v>
      </c>
      <c r="T111" s="15">
        <f t="shared" si="25"/>
        <v>62897717.33</v>
      </c>
      <c r="U111" s="15">
        <f t="shared" si="25"/>
        <v>53631753653.18</v>
      </c>
      <c r="V111" s="15"/>
      <c r="W111" s="43">
        <f>SUM(W109:W110)</f>
        <v>56141873511.58</v>
      </c>
      <c r="X111" s="43">
        <f>SUM(X109:X110)</f>
        <v>2510119858.4</v>
      </c>
      <c r="Z111" s="17"/>
      <c r="AA111" s="17"/>
      <c r="AB111" s="36">
        <f t="shared" si="14"/>
        <v>0</v>
      </c>
    </row>
    <row r="112" spans="1:28" ht="7.5" customHeight="1" outlineLevel="1">
      <c r="A112" s="217"/>
      <c r="C112" s="38"/>
      <c r="D112" s="76"/>
      <c r="E112" s="76"/>
      <c r="F112" s="11"/>
      <c r="G112" s="116"/>
      <c r="H112" s="66"/>
      <c r="I112" s="45"/>
      <c r="J112" s="78"/>
      <c r="K112" s="77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9"/>
      <c r="X112" s="78"/>
      <c r="Z112" s="17"/>
      <c r="AA112" s="17"/>
      <c r="AB112" s="36">
        <f t="shared" si="14"/>
        <v>0</v>
      </c>
    </row>
    <row r="113" spans="1:28" s="99" customFormat="1" ht="11.25" outlineLevel="1">
      <c r="A113" s="217"/>
      <c r="B113" s="146">
        <v>1621101</v>
      </c>
      <c r="C113" s="27"/>
      <c r="D113" s="27"/>
      <c r="E113" s="27"/>
      <c r="F113" s="2"/>
      <c r="G113" s="134"/>
      <c r="H113" s="27" t="s">
        <v>8</v>
      </c>
      <c r="I113" s="27"/>
      <c r="J113" s="147"/>
      <c r="K113" s="29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30"/>
      <c r="X113" s="147"/>
      <c r="AB113" s="36">
        <f t="shared" si="14"/>
        <v>0</v>
      </c>
    </row>
    <row r="114" spans="1:28" ht="11.25" outlineLevel="1">
      <c r="A114" s="217"/>
      <c r="C114" s="31" t="s">
        <v>10</v>
      </c>
      <c r="D114" s="5" t="s">
        <v>8</v>
      </c>
      <c r="E114" s="32">
        <v>1280</v>
      </c>
      <c r="F114" s="3" t="s">
        <v>11</v>
      </c>
      <c r="G114" s="137">
        <v>41463</v>
      </c>
      <c r="H114" s="33" t="s">
        <v>12</v>
      </c>
      <c r="I114" s="5" t="s">
        <v>9</v>
      </c>
      <c r="J114" s="34">
        <v>1627861.15</v>
      </c>
      <c r="K114" s="35">
        <v>5207293811.89</v>
      </c>
      <c r="L114" s="36">
        <v>2263640.63</v>
      </c>
      <c r="M114" s="36">
        <v>7173116406.4</v>
      </c>
      <c r="N114" s="36"/>
      <c r="O114" s="34"/>
      <c r="P114" s="34"/>
      <c r="Q114" s="34"/>
      <c r="R114" s="36">
        <f>+N114+P114</f>
        <v>0</v>
      </c>
      <c r="S114" s="36">
        <f>+O114+Q114</f>
        <v>0</v>
      </c>
      <c r="T114" s="36">
        <f>+J114+L114-R114</f>
        <v>3891501.78</v>
      </c>
      <c r="U114" s="36">
        <f>+K114+M114-S114-Z114+AA114</f>
        <v>12380410218.29</v>
      </c>
      <c r="V114" s="118">
        <v>3347.94</v>
      </c>
      <c r="W114" s="37">
        <f>T114*V114</f>
        <v>13028514469.33</v>
      </c>
      <c r="X114" s="36">
        <f>+W114-U114-AB114</f>
        <v>648104251.04</v>
      </c>
      <c r="Z114" s="17"/>
      <c r="AA114" s="17"/>
      <c r="AB114" s="36">
        <f t="shared" si="14"/>
        <v>0</v>
      </c>
    </row>
    <row r="115" spans="1:28" ht="11.25" outlineLevel="1">
      <c r="A115" s="217"/>
      <c r="C115" s="38"/>
      <c r="D115" s="39"/>
      <c r="E115" s="39"/>
      <c r="F115" s="4"/>
      <c r="G115" s="138"/>
      <c r="H115" s="40" t="s">
        <v>13</v>
      </c>
      <c r="I115" s="100"/>
      <c r="J115" s="42">
        <f aca="true" t="shared" si="26" ref="J115:O115">SUM(J114:J114)</f>
        <v>1627861.15</v>
      </c>
      <c r="K115" s="41">
        <f t="shared" si="26"/>
        <v>5207293811.89</v>
      </c>
      <c r="L115" s="15">
        <f t="shared" si="26"/>
        <v>2263640.63</v>
      </c>
      <c r="M115" s="15">
        <f t="shared" si="26"/>
        <v>7173116406.4</v>
      </c>
      <c r="N115" s="15">
        <f t="shared" si="26"/>
        <v>0</v>
      </c>
      <c r="O115" s="42">
        <f t="shared" si="26"/>
        <v>0</v>
      </c>
      <c r="P115" s="42"/>
      <c r="Q115" s="42">
        <f>SUM(Q114:Q114)</f>
        <v>0</v>
      </c>
      <c r="R115" s="42">
        <f>SUM(R114:R114)</f>
        <v>0</v>
      </c>
      <c r="S115" s="42">
        <f>SUM(S114:S114)</f>
        <v>0</v>
      </c>
      <c r="T115" s="15">
        <f>SUM(T114:T114)</f>
        <v>3891501.78</v>
      </c>
      <c r="U115" s="15">
        <f>SUM(U114:U114)</f>
        <v>12380410218.29</v>
      </c>
      <c r="V115" s="42"/>
      <c r="W115" s="43">
        <f>SUM(W114:W114)</f>
        <v>13028514469.33</v>
      </c>
      <c r="X115" s="42">
        <f>SUM(X114:X114)</f>
        <v>648104251.04</v>
      </c>
      <c r="Z115" s="17"/>
      <c r="AA115" s="17"/>
      <c r="AB115" s="36">
        <f t="shared" si="14"/>
        <v>0</v>
      </c>
    </row>
    <row r="116" spans="1:28" ht="11.25" outlineLevel="1">
      <c r="A116" s="217"/>
      <c r="C116" s="38"/>
      <c r="D116" s="39"/>
      <c r="E116" s="39"/>
      <c r="F116" s="4"/>
      <c r="G116" s="138"/>
      <c r="H116" s="75"/>
      <c r="I116" s="74"/>
      <c r="J116" s="15"/>
      <c r="K116" s="67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43"/>
      <c r="X116" s="15"/>
      <c r="Z116" s="17"/>
      <c r="AA116" s="17"/>
      <c r="AB116" s="36">
        <f t="shared" si="14"/>
        <v>0</v>
      </c>
    </row>
    <row r="117" spans="1:28" s="99" customFormat="1" ht="11.25" outlineLevel="1">
      <c r="A117" s="217"/>
      <c r="B117" s="186">
        <v>1621101</v>
      </c>
      <c r="C117" s="27"/>
      <c r="D117" s="27"/>
      <c r="E117" s="27"/>
      <c r="F117" s="2"/>
      <c r="G117" s="134"/>
      <c r="H117" s="27" t="s">
        <v>502</v>
      </c>
      <c r="I117" s="27"/>
      <c r="J117" s="147"/>
      <c r="K117" s="29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30"/>
      <c r="X117" s="147"/>
      <c r="AB117" s="36">
        <f t="shared" si="14"/>
        <v>0</v>
      </c>
    </row>
    <row r="118" spans="1:29" ht="11.25" outlineLevel="1">
      <c r="A118" s="217"/>
      <c r="C118" s="31" t="s">
        <v>10</v>
      </c>
      <c r="D118" s="5" t="s">
        <v>502</v>
      </c>
      <c r="E118" s="32">
        <v>1328</v>
      </c>
      <c r="F118" s="3" t="s">
        <v>503</v>
      </c>
      <c r="G118" s="137">
        <v>42600</v>
      </c>
      <c r="H118" s="33" t="s">
        <v>504</v>
      </c>
      <c r="I118" s="5" t="s">
        <v>9</v>
      </c>
      <c r="J118" s="34"/>
      <c r="K118" s="35"/>
      <c r="L118" s="36">
        <v>35000000</v>
      </c>
      <c r="M118" s="36">
        <v>106712550000</v>
      </c>
      <c r="N118" s="36"/>
      <c r="O118" s="34"/>
      <c r="P118" s="34"/>
      <c r="Q118" s="34"/>
      <c r="R118" s="36">
        <f>+N118+P118</f>
        <v>0</v>
      </c>
      <c r="S118" s="36">
        <f>+O118+Q118</f>
        <v>0</v>
      </c>
      <c r="T118" s="36">
        <f>+J118+L118-R118</f>
        <v>35000000</v>
      </c>
      <c r="U118" s="36">
        <f>+K118+M118-S118-Z118+AA118</f>
        <v>106712550000</v>
      </c>
      <c r="V118" s="118">
        <v>3347.94</v>
      </c>
      <c r="W118" s="37">
        <f>T118*V118</f>
        <v>117177900000</v>
      </c>
      <c r="X118" s="36">
        <f>+W118-U118-AB118</f>
        <v>3449224571.61</v>
      </c>
      <c r="Z118" s="17"/>
      <c r="AA118" s="17"/>
      <c r="AB118" s="36">
        <f t="shared" si="14"/>
        <v>7016125428.39</v>
      </c>
      <c r="AC118" s="22">
        <v>7016125428.39</v>
      </c>
    </row>
    <row r="119" spans="1:28" ht="11.25" outlineLevel="1">
      <c r="A119" s="217"/>
      <c r="C119" s="38"/>
      <c r="D119" s="39"/>
      <c r="E119" s="39"/>
      <c r="F119" s="4"/>
      <c r="G119" s="138"/>
      <c r="H119" s="40" t="s">
        <v>505</v>
      </c>
      <c r="I119" s="100"/>
      <c r="J119" s="42">
        <f aca="true" t="shared" si="27" ref="J119:O119">SUM(J118:J118)</f>
        <v>0</v>
      </c>
      <c r="K119" s="41">
        <f t="shared" si="27"/>
        <v>0</v>
      </c>
      <c r="L119" s="15">
        <f t="shared" si="27"/>
        <v>35000000</v>
      </c>
      <c r="M119" s="15">
        <f t="shared" si="27"/>
        <v>106712550000</v>
      </c>
      <c r="N119" s="15">
        <f t="shared" si="27"/>
        <v>0</v>
      </c>
      <c r="O119" s="42">
        <f t="shared" si="27"/>
        <v>0</v>
      </c>
      <c r="P119" s="42"/>
      <c r="Q119" s="42">
        <f>SUM(Q118:Q118)</f>
        <v>0</v>
      </c>
      <c r="R119" s="42">
        <f>SUM(R118:R118)</f>
        <v>0</v>
      </c>
      <c r="S119" s="42">
        <f>SUM(S118:S118)</f>
        <v>0</v>
      </c>
      <c r="T119" s="15">
        <f>SUM(T118:T118)</f>
        <v>35000000</v>
      </c>
      <c r="U119" s="15">
        <f>SUM(U118:U118)</f>
        <v>106712550000</v>
      </c>
      <c r="V119" s="42"/>
      <c r="W119" s="43">
        <f>SUM(W118:W118)</f>
        <v>117177900000</v>
      </c>
      <c r="X119" s="42">
        <f>SUM(X118:X118)</f>
        <v>3449224571.61</v>
      </c>
      <c r="Z119" s="17"/>
      <c r="AA119" s="17"/>
      <c r="AB119" s="36">
        <f aca="true" t="shared" si="28" ref="AB119:AB182">+AC119-AA119</f>
        <v>0</v>
      </c>
    </row>
    <row r="120" spans="1:28" ht="7.5" customHeight="1" outlineLevel="1">
      <c r="A120" s="217"/>
      <c r="C120" s="38"/>
      <c r="D120" s="39"/>
      <c r="E120" s="39"/>
      <c r="F120" s="4"/>
      <c r="G120" s="138"/>
      <c r="H120" s="75"/>
      <c r="I120" s="74"/>
      <c r="J120" s="15"/>
      <c r="K120" s="67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43"/>
      <c r="X120" s="15"/>
      <c r="Z120" s="17"/>
      <c r="AA120" s="17"/>
      <c r="AB120" s="36">
        <f t="shared" si="28"/>
        <v>0</v>
      </c>
    </row>
    <row r="121" spans="1:28" ht="11.25" outlineLevel="1">
      <c r="A121" s="217"/>
      <c r="B121" s="146">
        <v>1621104</v>
      </c>
      <c r="C121" s="49"/>
      <c r="D121" s="5"/>
      <c r="E121" s="5"/>
      <c r="F121" s="3"/>
      <c r="G121" s="113"/>
      <c r="H121" s="27" t="s">
        <v>55</v>
      </c>
      <c r="I121" s="5"/>
      <c r="J121" s="36"/>
      <c r="K121" s="57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7"/>
      <c r="X121" s="36"/>
      <c r="Z121" s="17"/>
      <c r="AA121" s="17"/>
      <c r="AB121" s="36">
        <f t="shared" si="28"/>
        <v>0</v>
      </c>
    </row>
    <row r="122" spans="1:28" ht="11.25" outlineLevel="1">
      <c r="A122" s="217"/>
      <c r="B122" s="49"/>
      <c r="C122" s="31" t="s">
        <v>506</v>
      </c>
      <c r="D122" s="5" t="s">
        <v>55</v>
      </c>
      <c r="E122" s="5">
        <v>887</v>
      </c>
      <c r="F122" s="3" t="s">
        <v>56</v>
      </c>
      <c r="G122" s="113">
        <v>36146</v>
      </c>
      <c r="H122" s="49" t="s">
        <v>57</v>
      </c>
      <c r="I122" s="5" t="s">
        <v>58</v>
      </c>
      <c r="J122" s="36">
        <v>849200.01</v>
      </c>
      <c r="K122" s="57">
        <v>2970178938.98</v>
      </c>
      <c r="L122" s="36"/>
      <c r="M122" s="36"/>
      <c r="N122" s="36">
        <v>279999.99</v>
      </c>
      <c r="O122" s="36">
        <v>999860364.29</v>
      </c>
      <c r="P122" s="36"/>
      <c r="Q122" s="36"/>
      <c r="R122" s="36">
        <f>+N122+P122</f>
        <v>279999.99</v>
      </c>
      <c r="S122" s="36">
        <f>+O122+Q122</f>
        <v>999860364.29</v>
      </c>
      <c r="T122" s="36">
        <f>+J122+L122-R122</f>
        <v>569200.02</v>
      </c>
      <c r="U122" s="36">
        <f>+K122+M122-S122-Z122+AA122</f>
        <v>1970318574.69</v>
      </c>
      <c r="V122" s="118">
        <v>3509.53</v>
      </c>
      <c r="W122" s="37">
        <f>T122*V122</f>
        <v>1997624546.19</v>
      </c>
      <c r="X122" s="36">
        <f>+W122-U122-AB122</f>
        <v>27305971.5</v>
      </c>
      <c r="Z122" s="17"/>
      <c r="AA122" s="17"/>
      <c r="AB122" s="36">
        <f t="shared" si="28"/>
        <v>0</v>
      </c>
    </row>
    <row r="123" spans="1:28" ht="11.25" outlineLevel="1">
      <c r="A123" s="217"/>
      <c r="B123" s="49"/>
      <c r="C123" s="31" t="s">
        <v>507</v>
      </c>
      <c r="D123" s="5" t="s">
        <v>55</v>
      </c>
      <c r="E123" s="5">
        <v>889</v>
      </c>
      <c r="F123" s="3" t="s">
        <v>59</v>
      </c>
      <c r="G123" s="113">
        <v>36146</v>
      </c>
      <c r="H123" s="49" t="s">
        <v>60</v>
      </c>
      <c r="I123" s="5" t="s">
        <v>58</v>
      </c>
      <c r="J123" s="36">
        <v>4252667.73</v>
      </c>
      <c r="K123" s="57">
        <v>14874215705.8</v>
      </c>
      <c r="L123" s="36"/>
      <c r="M123" s="36"/>
      <c r="N123" s="36">
        <v>1402198.49</v>
      </c>
      <c r="O123" s="36">
        <v>4987970578.55</v>
      </c>
      <c r="P123" s="36"/>
      <c r="Q123" s="36"/>
      <c r="R123" s="36">
        <f>+N123+P123</f>
        <v>1402198.49</v>
      </c>
      <c r="S123" s="36">
        <f>+O123+Q123</f>
        <v>4987970578.55</v>
      </c>
      <c r="T123" s="36">
        <f>+J123+L123-R123</f>
        <v>2850469.24</v>
      </c>
      <c r="U123" s="36">
        <f>+K123+M123-S123-Z123+AA123</f>
        <v>9886245127.25</v>
      </c>
      <c r="V123" s="118">
        <v>3509.53</v>
      </c>
      <c r="W123" s="37">
        <f>T123*V123</f>
        <v>10003807311.86</v>
      </c>
      <c r="X123" s="36">
        <f>+W123-U123-AB123</f>
        <v>117562184.61</v>
      </c>
      <c r="Z123" s="17"/>
      <c r="AA123" s="17"/>
      <c r="AB123" s="36">
        <f t="shared" si="28"/>
        <v>0</v>
      </c>
    </row>
    <row r="124" spans="1:28" ht="11.25" outlineLevel="1">
      <c r="A124" s="217"/>
      <c r="D124" s="17"/>
      <c r="G124" s="121"/>
      <c r="H124" s="60" t="s">
        <v>61</v>
      </c>
      <c r="I124" s="5"/>
      <c r="J124" s="15">
        <f aca="true" t="shared" si="29" ref="J124:U124">SUM(J122:J123)</f>
        <v>5101867.74</v>
      </c>
      <c r="K124" s="15">
        <f t="shared" si="29"/>
        <v>17844394644.78</v>
      </c>
      <c r="L124" s="15">
        <f t="shared" si="29"/>
        <v>0</v>
      </c>
      <c r="M124" s="15">
        <f t="shared" si="29"/>
        <v>0</v>
      </c>
      <c r="N124" s="15">
        <f t="shared" si="29"/>
        <v>1682198.48</v>
      </c>
      <c r="O124" s="15">
        <f t="shared" si="29"/>
        <v>5987830942.84</v>
      </c>
      <c r="P124" s="15">
        <f t="shared" si="29"/>
        <v>0</v>
      </c>
      <c r="Q124" s="15">
        <f t="shared" si="29"/>
        <v>0</v>
      </c>
      <c r="R124" s="15">
        <f t="shared" si="29"/>
        <v>1682198.48</v>
      </c>
      <c r="S124" s="15">
        <f t="shared" si="29"/>
        <v>5987830942.84</v>
      </c>
      <c r="T124" s="15">
        <f t="shared" si="29"/>
        <v>3419669.26</v>
      </c>
      <c r="U124" s="15">
        <f t="shared" si="29"/>
        <v>11856563701.94</v>
      </c>
      <c r="V124" s="15"/>
      <c r="W124" s="43">
        <f>SUM(W122:W123)</f>
        <v>12001431858.05</v>
      </c>
      <c r="X124" s="43">
        <f>SUM(X122:X123)</f>
        <v>144868156.11</v>
      </c>
      <c r="Z124" s="17"/>
      <c r="AA124" s="17"/>
      <c r="AB124" s="36">
        <f t="shared" si="28"/>
        <v>0</v>
      </c>
    </row>
    <row r="125" spans="1:28" ht="7.5" customHeight="1" outlineLevel="1">
      <c r="A125" s="217"/>
      <c r="D125" s="64"/>
      <c r="E125" s="64"/>
      <c r="F125" s="6"/>
      <c r="G125" s="116"/>
      <c r="H125" s="44"/>
      <c r="I125" s="45"/>
      <c r="J125" s="47"/>
      <c r="K125" s="46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8"/>
      <c r="X125" s="47"/>
      <c r="Z125" s="17"/>
      <c r="AA125" s="17"/>
      <c r="AB125" s="36">
        <f t="shared" si="28"/>
        <v>0</v>
      </c>
    </row>
    <row r="126" spans="1:28" ht="11.25" outlineLevel="1">
      <c r="A126" s="217"/>
      <c r="B126" s="146">
        <v>1621301</v>
      </c>
      <c r="C126" s="49"/>
      <c r="D126" s="49"/>
      <c r="E126" s="5"/>
      <c r="F126" s="3"/>
      <c r="G126" s="113"/>
      <c r="H126" s="27" t="s">
        <v>400</v>
      </c>
      <c r="I126" s="5"/>
      <c r="J126" s="36"/>
      <c r="K126" s="57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7"/>
      <c r="X126" s="36"/>
      <c r="Z126" s="17"/>
      <c r="AA126" s="17"/>
      <c r="AB126" s="36">
        <f t="shared" si="28"/>
        <v>0</v>
      </c>
    </row>
    <row r="127" spans="1:29" ht="11.25" outlineLevel="1">
      <c r="A127" s="217"/>
      <c r="B127" s="49"/>
      <c r="C127" s="31" t="s">
        <v>508</v>
      </c>
      <c r="D127" s="5" t="s">
        <v>400</v>
      </c>
      <c r="E127" s="5">
        <v>1248</v>
      </c>
      <c r="F127" s="3" t="s">
        <v>401</v>
      </c>
      <c r="G127" s="113">
        <v>39749</v>
      </c>
      <c r="H127" s="49" t="s">
        <v>402</v>
      </c>
      <c r="I127" s="5" t="s">
        <v>9</v>
      </c>
      <c r="J127" s="36">
        <v>9862370.73</v>
      </c>
      <c r="K127" s="57">
        <v>31551795063.12</v>
      </c>
      <c r="L127" s="36"/>
      <c r="M127" s="36"/>
      <c r="N127" s="36"/>
      <c r="O127" s="36"/>
      <c r="P127" s="36"/>
      <c r="Q127" s="36"/>
      <c r="R127" s="36">
        <f>+N127+P127</f>
        <v>0</v>
      </c>
      <c r="S127" s="36">
        <f>+O127+Q127</f>
        <v>0</v>
      </c>
      <c r="T127" s="36">
        <f>+J127+L127-R127</f>
        <v>9862370.73</v>
      </c>
      <c r="U127" s="36">
        <f>+K127+M127-S127-Z127+AA127</f>
        <v>31551795063.12</v>
      </c>
      <c r="V127" s="118">
        <v>3347.94</v>
      </c>
      <c r="W127" s="37">
        <f>T127*V127</f>
        <v>33018625461.8</v>
      </c>
      <c r="X127" s="36">
        <f>+W127-U127-AB127</f>
        <v>0</v>
      </c>
      <c r="Z127" s="17"/>
      <c r="AA127" s="17"/>
      <c r="AB127" s="36">
        <f t="shared" si="28"/>
        <v>1466830398.68</v>
      </c>
      <c r="AC127" s="36">
        <v>1466830398.68</v>
      </c>
    </row>
    <row r="128" spans="1:29" ht="11.25" outlineLevel="1">
      <c r="A128" s="217"/>
      <c r="C128" s="38"/>
      <c r="D128" s="5" t="s">
        <v>400</v>
      </c>
      <c r="E128" s="5">
        <v>1304</v>
      </c>
      <c r="F128" s="3" t="s">
        <v>509</v>
      </c>
      <c r="G128" s="113">
        <v>42254</v>
      </c>
      <c r="H128" s="139" t="s">
        <v>510</v>
      </c>
      <c r="I128" s="5" t="s">
        <v>511</v>
      </c>
      <c r="J128" s="36"/>
      <c r="K128" s="57"/>
      <c r="L128" s="36">
        <v>9636966030</v>
      </c>
      <c r="M128" s="36">
        <v>27176244204.6</v>
      </c>
      <c r="N128" s="36"/>
      <c r="O128" s="36"/>
      <c r="P128" s="36"/>
      <c r="Q128" s="36"/>
      <c r="R128" s="36">
        <f>+N128+P128</f>
        <v>0</v>
      </c>
      <c r="S128" s="36">
        <f>+O128+Q128</f>
        <v>0</v>
      </c>
      <c r="T128" s="36">
        <f>+J128+L128-R128</f>
        <v>9636966030</v>
      </c>
      <c r="U128" s="36">
        <f>+K128+M128-S128-Z128+AA128</f>
        <v>27176244204.6</v>
      </c>
      <c r="V128" s="118">
        <v>2.79</v>
      </c>
      <c r="W128" s="37">
        <f>T128*V128</f>
        <v>26887135223.7</v>
      </c>
      <c r="X128" s="36">
        <f>+W128-U128-AB128</f>
        <v>-289108980.9</v>
      </c>
      <c r="Z128" s="17"/>
      <c r="AA128" s="17"/>
      <c r="AB128" s="36">
        <f t="shared" si="28"/>
        <v>0</v>
      </c>
      <c r="AC128" s="20"/>
    </row>
    <row r="129" spans="1:28" ht="11.25" outlineLevel="1">
      <c r="A129" s="217"/>
      <c r="C129" s="38"/>
      <c r="D129" s="17"/>
      <c r="E129" s="18"/>
      <c r="F129" s="9"/>
      <c r="G129" s="121"/>
      <c r="H129" s="146" t="s">
        <v>403</v>
      </c>
      <c r="I129" s="5"/>
      <c r="J129" s="15">
        <f>SUM(J127:J128)</f>
        <v>9862370.73</v>
      </c>
      <c r="K129" s="15">
        <f aca="true" t="shared" si="30" ref="K129:U129">SUM(K127:K128)</f>
        <v>31551795063.12</v>
      </c>
      <c r="L129" s="15">
        <f t="shared" si="30"/>
        <v>9636966030</v>
      </c>
      <c r="M129" s="15">
        <f t="shared" si="30"/>
        <v>27176244204.6</v>
      </c>
      <c r="N129" s="15">
        <f t="shared" si="30"/>
        <v>0</v>
      </c>
      <c r="O129" s="15">
        <f t="shared" si="30"/>
        <v>0</v>
      </c>
      <c r="P129" s="15">
        <f t="shared" si="30"/>
        <v>0</v>
      </c>
      <c r="Q129" s="15">
        <f t="shared" si="30"/>
        <v>0</v>
      </c>
      <c r="R129" s="15">
        <f t="shared" si="30"/>
        <v>0</v>
      </c>
      <c r="S129" s="15">
        <f t="shared" si="30"/>
        <v>0</v>
      </c>
      <c r="T129" s="15">
        <f t="shared" si="30"/>
        <v>9646828400.73</v>
      </c>
      <c r="U129" s="15">
        <f t="shared" si="30"/>
        <v>58728039267.72</v>
      </c>
      <c r="V129" s="15"/>
      <c r="W129" s="43">
        <f>SUM(W127:W128)</f>
        <v>59905760685.5</v>
      </c>
      <c r="X129" s="43">
        <f>SUM(X127:X128)</f>
        <v>-289108980.9</v>
      </c>
      <c r="Z129" s="17"/>
      <c r="AA129" s="17"/>
      <c r="AB129" s="36">
        <f t="shared" si="28"/>
        <v>0</v>
      </c>
    </row>
    <row r="130" spans="1:28" ht="7.5" customHeight="1" outlineLevel="1">
      <c r="A130" s="217"/>
      <c r="C130" s="38"/>
      <c r="D130" s="95"/>
      <c r="E130" s="76"/>
      <c r="F130" s="11"/>
      <c r="G130" s="116"/>
      <c r="H130" s="66"/>
      <c r="I130" s="45"/>
      <c r="J130" s="78"/>
      <c r="K130" s="77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9"/>
      <c r="X130" s="78"/>
      <c r="Z130" s="17"/>
      <c r="AA130" s="17"/>
      <c r="AB130" s="36">
        <f t="shared" si="28"/>
        <v>0</v>
      </c>
    </row>
    <row r="131" spans="1:29" s="19" customFormat="1" ht="11.25" outlineLevel="1">
      <c r="A131" s="217"/>
      <c r="B131" s="146">
        <v>16212104</v>
      </c>
      <c r="C131" s="40"/>
      <c r="D131" s="40"/>
      <c r="E131" s="27"/>
      <c r="F131" s="2"/>
      <c r="G131" s="134"/>
      <c r="H131" s="27" t="s">
        <v>396</v>
      </c>
      <c r="I131" s="27"/>
      <c r="J131" s="15"/>
      <c r="K131" s="67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43"/>
      <c r="X131" s="15"/>
      <c r="Y131" s="92"/>
      <c r="Z131" s="17"/>
      <c r="AA131" s="17"/>
      <c r="AB131" s="36">
        <f t="shared" si="28"/>
        <v>0</v>
      </c>
      <c r="AC131" s="22"/>
    </row>
    <row r="132" spans="1:28" ht="11.25" outlineLevel="1">
      <c r="A132" s="217"/>
      <c r="B132" s="49"/>
      <c r="C132" s="31">
        <v>16212104</v>
      </c>
      <c r="D132" s="5" t="s">
        <v>396</v>
      </c>
      <c r="E132" s="5">
        <v>1109</v>
      </c>
      <c r="F132" s="3" t="s">
        <v>397</v>
      </c>
      <c r="G132" s="113">
        <v>37897</v>
      </c>
      <c r="H132" s="49" t="s">
        <v>398</v>
      </c>
      <c r="I132" s="5" t="s">
        <v>58</v>
      </c>
      <c r="J132" s="36">
        <v>1983067.18</v>
      </c>
      <c r="K132" s="57">
        <v>6936015430.11</v>
      </c>
      <c r="L132" s="36"/>
      <c r="M132" s="36"/>
      <c r="N132" s="36">
        <v>107192.82</v>
      </c>
      <c r="O132" s="36">
        <v>372239394.63</v>
      </c>
      <c r="P132" s="36"/>
      <c r="Q132" s="36"/>
      <c r="R132" s="36">
        <f>+N132+P132</f>
        <v>107192.82</v>
      </c>
      <c r="S132" s="36">
        <f>+O132+Q132</f>
        <v>372239394.63</v>
      </c>
      <c r="T132" s="36">
        <f>+J132+L132-R132</f>
        <v>1875874.36</v>
      </c>
      <c r="U132" s="36">
        <f>+K132+M132-S132-Z132+AA132</f>
        <v>6563776035.48</v>
      </c>
      <c r="V132" s="118">
        <v>3509.53</v>
      </c>
      <c r="W132" s="37">
        <f>T132*V132</f>
        <v>6583437342.65</v>
      </c>
      <c r="X132" s="36">
        <f>+W132-U132-AB132</f>
        <v>19661307.17</v>
      </c>
      <c r="Z132" s="17"/>
      <c r="AA132" s="17"/>
      <c r="AB132" s="36">
        <f t="shared" si="28"/>
        <v>0</v>
      </c>
    </row>
    <row r="133" spans="1:28" ht="11.25" outlineLevel="1">
      <c r="A133" s="217"/>
      <c r="C133" s="38"/>
      <c r="D133" s="74"/>
      <c r="E133" s="74"/>
      <c r="F133" s="8"/>
      <c r="G133" s="115"/>
      <c r="H133" s="146" t="s">
        <v>399</v>
      </c>
      <c r="I133" s="5"/>
      <c r="J133" s="15">
        <f aca="true" t="shared" si="31" ref="J133:U133">SUM(J132)</f>
        <v>1983067.18</v>
      </c>
      <c r="K133" s="67">
        <f>SUM(K132)</f>
        <v>6936015430.11</v>
      </c>
      <c r="L133" s="15">
        <f t="shared" si="31"/>
        <v>0</v>
      </c>
      <c r="M133" s="15">
        <f t="shared" si="31"/>
        <v>0</v>
      </c>
      <c r="N133" s="15">
        <f t="shared" si="31"/>
        <v>107192.82</v>
      </c>
      <c r="O133" s="15">
        <f t="shared" si="31"/>
        <v>372239394.63</v>
      </c>
      <c r="P133" s="15">
        <f t="shared" si="31"/>
        <v>0</v>
      </c>
      <c r="Q133" s="15">
        <f t="shared" si="31"/>
        <v>0</v>
      </c>
      <c r="R133" s="15">
        <f t="shared" si="31"/>
        <v>107192.82</v>
      </c>
      <c r="S133" s="15">
        <f t="shared" si="31"/>
        <v>372239394.63</v>
      </c>
      <c r="T133" s="15">
        <f t="shared" si="31"/>
        <v>1875874.36</v>
      </c>
      <c r="U133" s="15">
        <f t="shared" si="31"/>
        <v>6563776035.48</v>
      </c>
      <c r="V133" s="15"/>
      <c r="W133" s="43">
        <f>SUM(W132)</f>
        <v>6583437342.65</v>
      </c>
      <c r="X133" s="15">
        <f>SUM(X132)</f>
        <v>19661307.17</v>
      </c>
      <c r="Z133" s="17"/>
      <c r="AA133" s="17"/>
      <c r="AB133" s="36">
        <f t="shared" si="28"/>
        <v>0</v>
      </c>
    </row>
    <row r="134" spans="1:28" ht="7.5" customHeight="1" outlineLevel="1">
      <c r="A134" s="217"/>
      <c r="B134" s="93"/>
      <c r="C134" s="38"/>
      <c r="D134" s="76"/>
      <c r="E134" s="76"/>
      <c r="F134" s="11"/>
      <c r="G134" s="116"/>
      <c r="H134" s="66"/>
      <c r="I134" s="45"/>
      <c r="J134" s="47"/>
      <c r="K134" s="46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8"/>
      <c r="X134" s="47"/>
      <c r="Z134" s="17"/>
      <c r="AA134" s="17"/>
      <c r="AB134" s="36">
        <f t="shared" si="28"/>
        <v>0</v>
      </c>
    </row>
    <row r="135" spans="1:28" ht="11.25" outlineLevel="1">
      <c r="A135" s="217"/>
      <c r="B135" s="146">
        <v>1621105</v>
      </c>
      <c r="C135" s="49"/>
      <c r="D135" s="5"/>
      <c r="E135" s="5"/>
      <c r="F135" s="3"/>
      <c r="G135" s="113"/>
      <c r="H135" s="27" t="s">
        <v>62</v>
      </c>
      <c r="I135" s="5"/>
      <c r="J135" s="36"/>
      <c r="K135" s="57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7"/>
      <c r="X135" s="36"/>
      <c r="Z135" s="17"/>
      <c r="AA135" s="17"/>
      <c r="AB135" s="36">
        <f t="shared" si="28"/>
        <v>0</v>
      </c>
    </row>
    <row r="136" spans="1:29" ht="11.25" outlineLevel="1">
      <c r="A136" s="217"/>
      <c r="B136" s="49"/>
      <c r="C136" s="31" t="s">
        <v>63</v>
      </c>
      <c r="D136" s="5" t="s">
        <v>62</v>
      </c>
      <c r="E136" s="5">
        <v>625</v>
      </c>
      <c r="F136" s="3" t="s">
        <v>64</v>
      </c>
      <c r="G136" s="113">
        <v>33207</v>
      </c>
      <c r="H136" s="49" t="s">
        <v>65</v>
      </c>
      <c r="I136" s="5" t="s">
        <v>58</v>
      </c>
      <c r="J136" s="36">
        <v>1327801.41</v>
      </c>
      <c r="K136" s="57">
        <v>4644144767.64</v>
      </c>
      <c r="L136" s="36"/>
      <c r="M136" s="36"/>
      <c r="N136" s="36">
        <v>53112.06</v>
      </c>
      <c r="O136" s="36">
        <v>183694964.08</v>
      </c>
      <c r="P136" s="36"/>
      <c r="Q136" s="36"/>
      <c r="R136" s="36">
        <f aca="true" t="shared" si="32" ref="R136:S170">+N136+P136</f>
        <v>53112.06</v>
      </c>
      <c r="S136" s="36">
        <f t="shared" si="32"/>
        <v>183694964.08</v>
      </c>
      <c r="T136" s="36">
        <f aca="true" t="shared" si="33" ref="T136:T183">+J136+L136-R136</f>
        <v>1274689.35</v>
      </c>
      <c r="U136" s="36">
        <f aca="true" t="shared" si="34" ref="U136:U183">+K136+M136-S136-Z136+AA136</f>
        <v>4460449803.56</v>
      </c>
      <c r="V136" s="118">
        <v>3509.53</v>
      </c>
      <c r="W136" s="37">
        <f>T136*V136</f>
        <v>4473560514.51</v>
      </c>
      <c r="X136" s="36">
        <f aca="true" t="shared" si="35" ref="X136:X183">+W136-U136-AB136</f>
        <v>-420576283.15</v>
      </c>
      <c r="Z136" s="17"/>
      <c r="AA136" s="17"/>
      <c r="AB136" s="36">
        <f t="shared" si="28"/>
        <v>433686994.1</v>
      </c>
      <c r="AC136" s="36">
        <v>433686994.1</v>
      </c>
    </row>
    <row r="137" spans="1:28" ht="11.25" outlineLevel="1">
      <c r="A137" s="217"/>
      <c r="B137" s="49"/>
      <c r="C137" s="31" t="s">
        <v>63</v>
      </c>
      <c r="D137" s="5" t="s">
        <v>62</v>
      </c>
      <c r="E137" s="5">
        <v>625</v>
      </c>
      <c r="F137" s="3" t="s">
        <v>66</v>
      </c>
      <c r="G137" s="113">
        <v>33207</v>
      </c>
      <c r="H137" s="49" t="s">
        <v>65</v>
      </c>
      <c r="I137" s="5" t="s">
        <v>9</v>
      </c>
      <c r="J137" s="36">
        <v>3097742.11</v>
      </c>
      <c r="K137" s="57">
        <v>9910327535.73</v>
      </c>
      <c r="L137" s="36"/>
      <c r="M137" s="36"/>
      <c r="N137" s="36">
        <v>123909.68</v>
      </c>
      <c r="O137" s="36">
        <v>387801984.14</v>
      </c>
      <c r="P137" s="36"/>
      <c r="Q137" s="36"/>
      <c r="R137" s="36">
        <f t="shared" si="32"/>
        <v>123909.68</v>
      </c>
      <c r="S137" s="36">
        <f t="shared" si="32"/>
        <v>387801984.14</v>
      </c>
      <c r="T137" s="36">
        <f t="shared" si="33"/>
        <v>2973832.43</v>
      </c>
      <c r="U137" s="36">
        <f t="shared" si="34"/>
        <v>9522525551.59</v>
      </c>
      <c r="V137" s="118">
        <v>3347.94</v>
      </c>
      <c r="W137" s="37">
        <f aca="true" t="shared" si="36" ref="W137:W174">T137*V137</f>
        <v>9956212545.69</v>
      </c>
      <c r="X137" s="36">
        <f t="shared" si="35"/>
        <v>433686994.1</v>
      </c>
      <c r="Z137" s="17"/>
      <c r="AA137" s="17"/>
      <c r="AB137" s="36">
        <f t="shared" si="28"/>
        <v>0</v>
      </c>
    </row>
    <row r="138" spans="1:28" ht="11.25" outlineLevel="1">
      <c r="A138" s="217"/>
      <c r="B138" s="49"/>
      <c r="C138" s="31" t="s">
        <v>67</v>
      </c>
      <c r="D138" s="5" t="s">
        <v>62</v>
      </c>
      <c r="E138" s="5">
        <v>767</v>
      </c>
      <c r="F138" s="3" t="s">
        <v>68</v>
      </c>
      <c r="G138" s="113">
        <v>35769</v>
      </c>
      <c r="H138" s="49" t="s">
        <v>69</v>
      </c>
      <c r="I138" s="5" t="s">
        <v>58</v>
      </c>
      <c r="J138" s="36">
        <v>451747.83</v>
      </c>
      <c r="K138" s="57">
        <v>1580042245.16</v>
      </c>
      <c r="L138" s="36"/>
      <c r="M138" s="36"/>
      <c r="N138" s="36">
        <v>4910.3</v>
      </c>
      <c r="O138" s="36">
        <v>16982910.89</v>
      </c>
      <c r="P138" s="36"/>
      <c r="Q138" s="36"/>
      <c r="R138" s="36">
        <f t="shared" si="32"/>
        <v>4910.3</v>
      </c>
      <c r="S138" s="36">
        <f t="shared" si="32"/>
        <v>16982910.89</v>
      </c>
      <c r="T138" s="36">
        <f t="shared" si="33"/>
        <v>446837.53</v>
      </c>
      <c r="U138" s="36">
        <f t="shared" si="34"/>
        <v>1563059334.27</v>
      </c>
      <c r="V138" s="118">
        <v>3509.53</v>
      </c>
      <c r="W138" s="37">
        <f t="shared" si="36"/>
        <v>1568189716.66</v>
      </c>
      <c r="X138" s="36">
        <f t="shared" si="35"/>
        <v>5130382.39</v>
      </c>
      <c r="Z138" s="17"/>
      <c r="AA138" s="17"/>
      <c r="AB138" s="36">
        <f t="shared" si="28"/>
        <v>0</v>
      </c>
    </row>
    <row r="139" spans="1:28" ht="11.25" outlineLevel="1">
      <c r="A139" s="217"/>
      <c r="B139" s="49"/>
      <c r="C139" s="31" t="s">
        <v>70</v>
      </c>
      <c r="D139" s="5" t="s">
        <v>62</v>
      </c>
      <c r="E139" s="5">
        <v>884</v>
      </c>
      <c r="F139" s="3" t="s">
        <v>71</v>
      </c>
      <c r="G139" s="113">
        <v>36146</v>
      </c>
      <c r="H139" s="49" t="s">
        <v>72</v>
      </c>
      <c r="I139" s="5" t="s">
        <v>58</v>
      </c>
      <c r="J139" s="36">
        <v>2692098.05</v>
      </c>
      <c r="K139" s="57">
        <v>9415935981.64</v>
      </c>
      <c r="L139" s="36"/>
      <c r="M139" s="36"/>
      <c r="N139" s="36">
        <v>19961.52</v>
      </c>
      <c r="O139" s="36">
        <v>69039511.92</v>
      </c>
      <c r="P139" s="36"/>
      <c r="Q139" s="36"/>
      <c r="R139" s="36">
        <f t="shared" si="32"/>
        <v>19961.52</v>
      </c>
      <c r="S139" s="36">
        <f t="shared" si="32"/>
        <v>69039511.92</v>
      </c>
      <c r="T139" s="36">
        <f t="shared" si="33"/>
        <v>2672136.53</v>
      </c>
      <c r="U139" s="36">
        <f t="shared" si="34"/>
        <v>9346896469.72</v>
      </c>
      <c r="V139" s="118">
        <v>3509.53</v>
      </c>
      <c r="W139" s="37">
        <f t="shared" si="36"/>
        <v>9377943316.13</v>
      </c>
      <c r="X139" s="36">
        <f t="shared" si="35"/>
        <v>31046846.41</v>
      </c>
      <c r="Z139" s="17"/>
      <c r="AA139" s="17"/>
      <c r="AB139" s="36">
        <f t="shared" si="28"/>
        <v>0</v>
      </c>
    </row>
    <row r="140" spans="1:29" ht="11.25" outlineLevel="1">
      <c r="A140" s="217"/>
      <c r="B140" s="49"/>
      <c r="C140" s="31" t="s">
        <v>70</v>
      </c>
      <c r="D140" s="5" t="s">
        <v>62</v>
      </c>
      <c r="E140" s="5">
        <v>884</v>
      </c>
      <c r="F140" s="3" t="s">
        <v>73</v>
      </c>
      <c r="G140" s="113">
        <v>36146</v>
      </c>
      <c r="H140" s="49" t="s">
        <v>72</v>
      </c>
      <c r="I140" s="5" t="s">
        <v>9</v>
      </c>
      <c r="J140" s="36">
        <v>10163999.31</v>
      </c>
      <c r="K140" s="57">
        <v>32516768232.55</v>
      </c>
      <c r="L140" s="36"/>
      <c r="M140" s="36"/>
      <c r="N140" s="36">
        <v>164918.6</v>
      </c>
      <c r="O140" s="36">
        <v>516148216.2</v>
      </c>
      <c r="P140" s="36"/>
      <c r="Q140" s="36"/>
      <c r="R140" s="36">
        <f t="shared" si="32"/>
        <v>164918.6</v>
      </c>
      <c r="S140" s="36">
        <f>+O140+Q140</f>
        <v>516148216.2</v>
      </c>
      <c r="T140" s="36">
        <f t="shared" si="33"/>
        <v>9999080.71</v>
      </c>
      <c r="U140" s="36">
        <f t="shared" si="34"/>
        <v>32000620016.35</v>
      </c>
      <c r="V140" s="118">
        <v>3347.94</v>
      </c>
      <c r="W140" s="37">
        <f t="shared" si="36"/>
        <v>33476322272.24</v>
      </c>
      <c r="X140" s="36">
        <f t="shared" si="35"/>
        <v>0</v>
      </c>
      <c r="Z140" s="17"/>
      <c r="AA140" s="17"/>
      <c r="AB140" s="36">
        <f t="shared" si="28"/>
        <v>1475702255.89</v>
      </c>
      <c r="AC140" s="36">
        <v>1475702255.89</v>
      </c>
    </row>
    <row r="141" spans="1:28" ht="11.25" outlineLevel="1">
      <c r="A141" s="217"/>
      <c r="B141" s="49"/>
      <c r="C141" s="31" t="s">
        <v>74</v>
      </c>
      <c r="D141" s="5" t="s">
        <v>62</v>
      </c>
      <c r="E141" s="5">
        <v>885</v>
      </c>
      <c r="F141" s="3" t="s">
        <v>75</v>
      </c>
      <c r="G141" s="113">
        <v>36146</v>
      </c>
      <c r="H141" s="49" t="s">
        <v>76</v>
      </c>
      <c r="I141" s="5" t="s">
        <v>58</v>
      </c>
      <c r="J141" s="36">
        <v>4227996.86</v>
      </c>
      <c r="K141" s="57">
        <v>14787926377.47</v>
      </c>
      <c r="L141" s="36"/>
      <c r="M141" s="36"/>
      <c r="N141" s="36">
        <v>45462.32</v>
      </c>
      <c r="O141" s="36">
        <v>160216414.61</v>
      </c>
      <c r="P141" s="36"/>
      <c r="Q141" s="36"/>
      <c r="R141" s="36">
        <f t="shared" si="32"/>
        <v>45462.32</v>
      </c>
      <c r="S141" s="36">
        <f t="shared" si="32"/>
        <v>160216414.61</v>
      </c>
      <c r="T141" s="36">
        <f t="shared" si="33"/>
        <v>4182534.54</v>
      </c>
      <c r="U141" s="36">
        <f t="shared" si="34"/>
        <v>14627709962.86</v>
      </c>
      <c r="V141" s="118">
        <v>3509.53</v>
      </c>
      <c r="W141" s="37">
        <f t="shared" si="36"/>
        <v>14678730444.17</v>
      </c>
      <c r="X141" s="36">
        <f t="shared" si="35"/>
        <v>51020481.31</v>
      </c>
      <c r="Z141" s="17"/>
      <c r="AA141" s="17"/>
      <c r="AB141" s="36">
        <f t="shared" si="28"/>
        <v>0</v>
      </c>
    </row>
    <row r="142" spans="1:29" ht="11.25" outlineLevel="1">
      <c r="A142" s="217"/>
      <c r="B142" s="49"/>
      <c r="C142" s="31" t="s">
        <v>74</v>
      </c>
      <c r="D142" s="5" t="s">
        <v>62</v>
      </c>
      <c r="E142" s="5">
        <v>885</v>
      </c>
      <c r="F142" s="3" t="s">
        <v>77</v>
      </c>
      <c r="G142" s="113">
        <v>36146</v>
      </c>
      <c r="H142" s="49" t="s">
        <v>76</v>
      </c>
      <c r="I142" s="5" t="s">
        <v>9</v>
      </c>
      <c r="J142" s="36">
        <v>2842629.85</v>
      </c>
      <c r="K142" s="57">
        <v>9094169842.42</v>
      </c>
      <c r="L142" s="36"/>
      <c r="M142" s="36"/>
      <c r="N142" s="36">
        <v>49870.7</v>
      </c>
      <c r="O142" s="36">
        <v>156558589.8</v>
      </c>
      <c r="P142" s="36"/>
      <c r="Q142" s="36"/>
      <c r="R142" s="36">
        <f t="shared" si="32"/>
        <v>49870.7</v>
      </c>
      <c r="S142" s="36">
        <f t="shared" si="32"/>
        <v>156558589.8</v>
      </c>
      <c r="T142" s="36">
        <f t="shared" si="33"/>
        <v>2792759.15</v>
      </c>
      <c r="U142" s="36">
        <f t="shared" si="34"/>
        <v>8937611252.62</v>
      </c>
      <c r="V142" s="118">
        <v>3347.94</v>
      </c>
      <c r="W142" s="37">
        <f>T142*V142</f>
        <v>9349990068.65</v>
      </c>
      <c r="X142" s="36">
        <f t="shared" si="35"/>
        <v>0</v>
      </c>
      <c r="Z142" s="17"/>
      <c r="AA142" s="17"/>
      <c r="AB142" s="36">
        <f t="shared" si="28"/>
        <v>412378816.03</v>
      </c>
      <c r="AC142" s="36">
        <v>412378816.03</v>
      </c>
    </row>
    <row r="143" spans="1:28" ht="11.25" outlineLevel="1">
      <c r="A143" s="217"/>
      <c r="B143" s="49"/>
      <c r="C143" s="31" t="s">
        <v>78</v>
      </c>
      <c r="D143" s="5" t="s">
        <v>62</v>
      </c>
      <c r="E143" s="5">
        <v>1027</v>
      </c>
      <c r="F143" s="3" t="s">
        <v>79</v>
      </c>
      <c r="G143" s="113">
        <v>36354</v>
      </c>
      <c r="H143" s="49" t="s">
        <v>80</v>
      </c>
      <c r="I143" s="5" t="s">
        <v>58</v>
      </c>
      <c r="J143" s="36">
        <v>5986010.97</v>
      </c>
      <c r="K143" s="57">
        <v>20936791688.89</v>
      </c>
      <c r="L143" s="36"/>
      <c r="M143" s="36"/>
      <c r="N143" s="36">
        <v>59607.28</v>
      </c>
      <c r="O143" s="36">
        <v>206159526.83</v>
      </c>
      <c r="P143" s="36"/>
      <c r="Q143" s="36"/>
      <c r="R143" s="36">
        <f t="shared" si="32"/>
        <v>59607.28</v>
      </c>
      <c r="S143" s="36">
        <f t="shared" si="32"/>
        <v>206159526.83</v>
      </c>
      <c r="T143" s="36">
        <f t="shared" si="33"/>
        <v>5926403.69</v>
      </c>
      <c r="U143" s="36">
        <f t="shared" si="34"/>
        <v>20730632162.06</v>
      </c>
      <c r="V143" s="118">
        <v>3509.53</v>
      </c>
      <c r="W143" s="37">
        <f t="shared" si="36"/>
        <v>20798891542.17</v>
      </c>
      <c r="X143" s="36">
        <f t="shared" si="35"/>
        <v>68259380.11</v>
      </c>
      <c r="Z143" s="17"/>
      <c r="AA143" s="17"/>
      <c r="AB143" s="36">
        <f t="shared" si="28"/>
        <v>0</v>
      </c>
    </row>
    <row r="144" spans="1:29" ht="11.25" outlineLevel="1">
      <c r="A144" s="217"/>
      <c r="B144" s="49"/>
      <c r="C144" s="31" t="s">
        <v>78</v>
      </c>
      <c r="D144" s="5" t="s">
        <v>62</v>
      </c>
      <c r="E144" s="5">
        <v>1027</v>
      </c>
      <c r="F144" s="3" t="s">
        <v>81</v>
      </c>
      <c r="G144" s="113">
        <v>36354</v>
      </c>
      <c r="H144" s="49" t="s">
        <v>80</v>
      </c>
      <c r="I144" s="5" t="s">
        <v>9</v>
      </c>
      <c r="J144" s="36">
        <v>8991938.39</v>
      </c>
      <c r="K144" s="57">
        <v>28767099216.67</v>
      </c>
      <c r="L144" s="36"/>
      <c r="M144" s="36"/>
      <c r="N144" s="36">
        <v>145031.26</v>
      </c>
      <c r="O144" s="36">
        <v>453906509.89</v>
      </c>
      <c r="P144" s="36"/>
      <c r="Q144" s="36"/>
      <c r="R144" s="36">
        <f t="shared" si="32"/>
        <v>145031.26</v>
      </c>
      <c r="S144" s="36">
        <f t="shared" si="32"/>
        <v>453906509.89</v>
      </c>
      <c r="T144" s="36">
        <f t="shared" si="33"/>
        <v>8846907.13</v>
      </c>
      <c r="U144" s="36">
        <f t="shared" si="34"/>
        <v>28313192706.78</v>
      </c>
      <c r="V144" s="118">
        <v>3347.94</v>
      </c>
      <c r="W144" s="37">
        <f t="shared" si="36"/>
        <v>29618914256.81</v>
      </c>
      <c r="X144" s="36">
        <f t="shared" si="35"/>
        <v>0</v>
      </c>
      <c r="Z144" s="17"/>
      <c r="AA144" s="17"/>
      <c r="AB144" s="36">
        <f t="shared" si="28"/>
        <v>1305721550.03</v>
      </c>
      <c r="AC144" s="36">
        <v>1305721550.03</v>
      </c>
    </row>
    <row r="145" spans="1:28" ht="11.25" outlineLevel="1">
      <c r="A145" s="217"/>
      <c r="B145" s="49"/>
      <c r="C145" s="31" t="s">
        <v>82</v>
      </c>
      <c r="D145" s="5" t="s">
        <v>62</v>
      </c>
      <c r="E145" s="5">
        <v>1038</v>
      </c>
      <c r="F145" s="3" t="s">
        <v>83</v>
      </c>
      <c r="G145" s="113">
        <v>36511</v>
      </c>
      <c r="H145" s="49" t="s">
        <v>84</v>
      </c>
      <c r="I145" s="5" t="s">
        <v>58</v>
      </c>
      <c r="J145" s="36">
        <v>4639258.21</v>
      </c>
      <c r="K145" s="57">
        <v>16226362300.46</v>
      </c>
      <c r="L145" s="36"/>
      <c r="M145" s="36"/>
      <c r="N145" s="36">
        <v>49353.8</v>
      </c>
      <c r="O145" s="36">
        <v>173930606.34</v>
      </c>
      <c r="P145" s="36"/>
      <c r="Q145" s="36"/>
      <c r="R145" s="36">
        <f t="shared" si="32"/>
        <v>49353.8</v>
      </c>
      <c r="S145" s="36">
        <f t="shared" si="32"/>
        <v>173930606.34</v>
      </c>
      <c r="T145" s="36">
        <f t="shared" si="33"/>
        <v>4589904.41</v>
      </c>
      <c r="U145" s="36">
        <f t="shared" si="34"/>
        <v>16052431694.12</v>
      </c>
      <c r="V145" s="118">
        <v>3509.53</v>
      </c>
      <c r="W145" s="37">
        <f t="shared" si="36"/>
        <v>16108407224.03</v>
      </c>
      <c r="X145" s="36">
        <f t="shared" si="35"/>
        <v>55975529.91</v>
      </c>
      <c r="Z145" s="17"/>
      <c r="AA145" s="17"/>
      <c r="AB145" s="36">
        <f t="shared" si="28"/>
        <v>0</v>
      </c>
    </row>
    <row r="146" spans="1:29" ht="11.25" outlineLevel="1">
      <c r="A146" s="217"/>
      <c r="B146" s="49"/>
      <c r="C146" s="31" t="s">
        <v>82</v>
      </c>
      <c r="D146" s="5" t="s">
        <v>62</v>
      </c>
      <c r="E146" s="5">
        <v>1038</v>
      </c>
      <c r="F146" s="3" t="s">
        <v>85</v>
      </c>
      <c r="G146" s="113">
        <v>36511</v>
      </c>
      <c r="H146" s="49" t="s">
        <v>84</v>
      </c>
      <c r="I146" s="5" t="s">
        <v>9</v>
      </c>
      <c r="J146" s="36">
        <v>3151231.83</v>
      </c>
      <c r="K146" s="57">
        <v>10081452382.85</v>
      </c>
      <c r="L146" s="36"/>
      <c r="M146" s="36"/>
      <c r="N146" s="36">
        <v>47033.32</v>
      </c>
      <c r="O146" s="36">
        <v>147651231.15</v>
      </c>
      <c r="P146" s="36"/>
      <c r="Q146" s="36"/>
      <c r="R146" s="36">
        <f t="shared" si="32"/>
        <v>47033.32</v>
      </c>
      <c r="S146" s="36">
        <f t="shared" si="32"/>
        <v>147651231.15</v>
      </c>
      <c r="T146" s="36">
        <f t="shared" si="33"/>
        <v>3104198.51</v>
      </c>
      <c r="U146" s="36">
        <f t="shared" si="34"/>
        <v>9933801151.7</v>
      </c>
      <c r="V146" s="118">
        <v>3347.94</v>
      </c>
      <c r="W146" s="37">
        <f t="shared" si="36"/>
        <v>10392670359.57</v>
      </c>
      <c r="X146" s="36">
        <f t="shared" si="35"/>
        <v>0</v>
      </c>
      <c r="Z146" s="17"/>
      <c r="AA146" s="17"/>
      <c r="AB146" s="36">
        <f t="shared" si="28"/>
        <v>458869207.87</v>
      </c>
      <c r="AC146" s="36">
        <v>458869207.87</v>
      </c>
    </row>
    <row r="147" spans="1:28" ht="11.25" outlineLevel="1">
      <c r="A147" s="217"/>
      <c r="B147" s="49"/>
      <c r="C147" s="31" t="s">
        <v>86</v>
      </c>
      <c r="D147" s="5" t="s">
        <v>62</v>
      </c>
      <c r="E147" s="5">
        <v>1050</v>
      </c>
      <c r="F147" s="3" t="s">
        <v>87</v>
      </c>
      <c r="G147" s="113">
        <v>36878</v>
      </c>
      <c r="H147" s="49" t="s">
        <v>88</v>
      </c>
      <c r="I147" s="5" t="s">
        <v>58</v>
      </c>
      <c r="J147" s="36">
        <v>1376772.07</v>
      </c>
      <c r="K147" s="57">
        <v>4815425527.47</v>
      </c>
      <c r="L147" s="36"/>
      <c r="M147" s="36"/>
      <c r="N147" s="36">
        <v>14492.34</v>
      </c>
      <c r="O147" s="36">
        <v>51073301.01</v>
      </c>
      <c r="P147" s="36"/>
      <c r="Q147" s="36"/>
      <c r="R147" s="36">
        <f t="shared" si="32"/>
        <v>14492.34</v>
      </c>
      <c r="S147" s="36">
        <f t="shared" si="32"/>
        <v>51073301.01</v>
      </c>
      <c r="T147" s="36">
        <f t="shared" si="33"/>
        <v>1362279.73</v>
      </c>
      <c r="U147" s="36">
        <f t="shared" si="34"/>
        <v>4764352226.46</v>
      </c>
      <c r="V147" s="118">
        <v>3509.53</v>
      </c>
      <c r="W147" s="37">
        <f t="shared" si="36"/>
        <v>4780961580.83</v>
      </c>
      <c r="X147" s="36">
        <f t="shared" si="35"/>
        <v>16609354.37</v>
      </c>
      <c r="Z147" s="17"/>
      <c r="AA147" s="17"/>
      <c r="AB147" s="36">
        <f t="shared" si="28"/>
        <v>0</v>
      </c>
    </row>
    <row r="148" spans="1:29" ht="11.25" outlineLevel="1">
      <c r="A148" s="217"/>
      <c r="B148" s="49"/>
      <c r="C148" s="31" t="s">
        <v>86</v>
      </c>
      <c r="D148" s="5" t="s">
        <v>62</v>
      </c>
      <c r="E148" s="5">
        <v>1050</v>
      </c>
      <c r="F148" s="3" t="s">
        <v>89</v>
      </c>
      <c r="G148" s="113">
        <v>36878</v>
      </c>
      <c r="H148" s="49" t="s">
        <v>88</v>
      </c>
      <c r="I148" s="5" t="s">
        <v>9</v>
      </c>
      <c r="J148" s="36">
        <v>821264.49</v>
      </c>
      <c r="K148" s="57">
        <v>2627397569.05</v>
      </c>
      <c r="L148" s="36"/>
      <c r="M148" s="36"/>
      <c r="N148" s="36">
        <v>10193.12</v>
      </c>
      <c r="O148" s="36">
        <v>31999159.69</v>
      </c>
      <c r="P148" s="36"/>
      <c r="Q148" s="36"/>
      <c r="R148" s="36">
        <f t="shared" si="32"/>
        <v>10193.12</v>
      </c>
      <c r="S148" s="36">
        <f t="shared" si="32"/>
        <v>31999159.69</v>
      </c>
      <c r="T148" s="36">
        <f t="shared" si="33"/>
        <v>811071.37</v>
      </c>
      <c r="U148" s="36">
        <f t="shared" si="34"/>
        <v>2595398409.36</v>
      </c>
      <c r="V148" s="118">
        <v>3347.94</v>
      </c>
      <c r="W148" s="37">
        <f t="shared" si="36"/>
        <v>2715418282.48</v>
      </c>
      <c r="X148" s="36">
        <f t="shared" si="35"/>
        <v>0</v>
      </c>
      <c r="Z148" s="17"/>
      <c r="AA148" s="17"/>
      <c r="AB148" s="36">
        <f t="shared" si="28"/>
        <v>120019873.12</v>
      </c>
      <c r="AC148" s="36">
        <v>120019873.12</v>
      </c>
    </row>
    <row r="149" spans="1:28" ht="11.25" outlineLevel="1">
      <c r="A149" s="217"/>
      <c r="B149" s="49"/>
      <c r="C149" s="31" t="s">
        <v>90</v>
      </c>
      <c r="D149" s="5" t="s">
        <v>62</v>
      </c>
      <c r="E149" s="5">
        <v>1068</v>
      </c>
      <c r="F149" s="3" t="s">
        <v>91</v>
      </c>
      <c r="G149" s="113">
        <v>37019</v>
      </c>
      <c r="H149" s="49" t="s">
        <v>92</v>
      </c>
      <c r="I149" s="5" t="s">
        <v>58</v>
      </c>
      <c r="J149" s="36">
        <v>3924405.37</v>
      </c>
      <c r="K149" s="57">
        <v>13726078710.22</v>
      </c>
      <c r="L149" s="36"/>
      <c r="M149" s="36"/>
      <c r="N149" s="36">
        <v>41093.26</v>
      </c>
      <c r="O149" s="36">
        <v>144819155.34</v>
      </c>
      <c r="P149" s="36"/>
      <c r="Q149" s="36"/>
      <c r="R149" s="36">
        <f t="shared" si="32"/>
        <v>41093.26</v>
      </c>
      <c r="S149" s="36">
        <f t="shared" si="32"/>
        <v>144819155.34</v>
      </c>
      <c r="T149" s="36">
        <f t="shared" si="33"/>
        <v>3883312.11</v>
      </c>
      <c r="U149" s="36">
        <f t="shared" si="34"/>
        <v>13581259554.88</v>
      </c>
      <c r="V149" s="118">
        <v>3509.53</v>
      </c>
      <c r="W149" s="37">
        <f t="shared" si="36"/>
        <v>13628600349.41</v>
      </c>
      <c r="X149" s="36">
        <f t="shared" si="35"/>
        <v>47340794.53</v>
      </c>
      <c r="Z149" s="17"/>
      <c r="AA149" s="17"/>
      <c r="AB149" s="36">
        <f t="shared" si="28"/>
        <v>0</v>
      </c>
    </row>
    <row r="150" spans="1:29" ht="11.25" outlineLevel="1">
      <c r="A150" s="217"/>
      <c r="B150" s="49"/>
      <c r="C150" s="31" t="s">
        <v>90</v>
      </c>
      <c r="D150" s="5" t="s">
        <v>62</v>
      </c>
      <c r="E150" s="5">
        <v>1068</v>
      </c>
      <c r="F150" s="3" t="s">
        <v>93</v>
      </c>
      <c r="G150" s="113">
        <v>37019</v>
      </c>
      <c r="H150" s="49" t="s">
        <v>94</v>
      </c>
      <c r="I150" s="5" t="s">
        <v>9</v>
      </c>
      <c r="J150" s="36">
        <v>7383570.43</v>
      </c>
      <c r="K150" s="57">
        <v>23621592355.36</v>
      </c>
      <c r="L150" s="36"/>
      <c r="M150" s="36"/>
      <c r="N150" s="36">
        <v>71052.82</v>
      </c>
      <c r="O150" s="36">
        <v>223055407.3</v>
      </c>
      <c r="P150" s="36"/>
      <c r="Q150" s="36"/>
      <c r="R150" s="36">
        <f t="shared" si="32"/>
        <v>71052.82</v>
      </c>
      <c r="S150" s="36">
        <f t="shared" si="32"/>
        <v>223055407.3</v>
      </c>
      <c r="T150" s="36">
        <f t="shared" si="33"/>
        <v>7312517.61</v>
      </c>
      <c r="U150" s="36">
        <f t="shared" si="34"/>
        <v>23398536948.06</v>
      </c>
      <c r="V150" s="118">
        <v>3347.94</v>
      </c>
      <c r="W150" s="37">
        <f t="shared" si="36"/>
        <v>24481870207.22</v>
      </c>
      <c r="X150" s="36">
        <f t="shared" si="35"/>
        <v>0</v>
      </c>
      <c r="Z150" s="17"/>
      <c r="AA150" s="17"/>
      <c r="AB150" s="36">
        <f t="shared" si="28"/>
        <v>1083333259.16</v>
      </c>
      <c r="AC150" s="36">
        <v>1083333259.16</v>
      </c>
    </row>
    <row r="151" spans="1:29" ht="22.5" customHeight="1" outlineLevel="1">
      <c r="A151" s="217"/>
      <c r="B151" s="49"/>
      <c r="C151" s="31" t="s">
        <v>95</v>
      </c>
      <c r="D151" s="5" t="s">
        <v>62</v>
      </c>
      <c r="E151" s="5">
        <v>1194</v>
      </c>
      <c r="F151" s="3" t="s">
        <v>96</v>
      </c>
      <c r="G151" s="113">
        <v>38929</v>
      </c>
      <c r="H151" s="114" t="s">
        <v>512</v>
      </c>
      <c r="I151" s="5" t="s">
        <v>9</v>
      </c>
      <c r="J151" s="36">
        <v>52504830</v>
      </c>
      <c r="K151" s="57">
        <v>167973977184.3</v>
      </c>
      <c r="L151" s="36"/>
      <c r="M151" s="36"/>
      <c r="N151" s="36">
        <v>262524.15</v>
      </c>
      <c r="O151" s="36">
        <v>816707380.17</v>
      </c>
      <c r="P151" s="36"/>
      <c r="Q151" s="36"/>
      <c r="R151" s="36">
        <f t="shared" si="32"/>
        <v>262524.15</v>
      </c>
      <c r="S151" s="36">
        <f t="shared" si="32"/>
        <v>816707380.17</v>
      </c>
      <c r="T151" s="36">
        <f t="shared" si="33"/>
        <v>52242305.85</v>
      </c>
      <c r="U151" s="36">
        <f t="shared" si="34"/>
        <v>167157269804.13</v>
      </c>
      <c r="V151" s="118">
        <v>3347.94</v>
      </c>
      <c r="W151" s="37">
        <f t="shared" si="36"/>
        <v>174904105447.45</v>
      </c>
      <c r="X151" s="36">
        <f t="shared" si="35"/>
        <v>0</v>
      </c>
      <c r="Z151" s="17"/>
      <c r="AA151" s="17"/>
      <c r="AB151" s="36">
        <f t="shared" si="28"/>
        <v>7746835643.32</v>
      </c>
      <c r="AC151" s="36">
        <v>7746835643.32</v>
      </c>
    </row>
    <row r="152" spans="1:28" ht="11.25" outlineLevel="1">
      <c r="A152" s="217"/>
      <c r="B152" s="49"/>
      <c r="C152" s="31" t="s">
        <v>97</v>
      </c>
      <c r="D152" s="5" t="s">
        <v>62</v>
      </c>
      <c r="E152" s="5">
        <v>1151</v>
      </c>
      <c r="F152" s="3" t="s">
        <v>98</v>
      </c>
      <c r="G152" s="113">
        <v>38778</v>
      </c>
      <c r="H152" s="49" t="s">
        <v>99</v>
      </c>
      <c r="I152" s="5" t="s">
        <v>58</v>
      </c>
      <c r="J152" s="36">
        <v>1375325.67</v>
      </c>
      <c r="K152" s="57">
        <v>4810366569.91</v>
      </c>
      <c r="L152" s="36"/>
      <c r="M152" s="36"/>
      <c r="N152" s="36">
        <v>6876.63</v>
      </c>
      <c r="O152" s="36">
        <v>22857780.59</v>
      </c>
      <c r="P152" s="36"/>
      <c r="Q152" s="36"/>
      <c r="R152" s="36">
        <f t="shared" si="32"/>
        <v>6876.63</v>
      </c>
      <c r="S152" s="36">
        <f t="shared" si="32"/>
        <v>22857780.59</v>
      </c>
      <c r="T152" s="36">
        <f t="shared" si="33"/>
        <v>1368449.04</v>
      </c>
      <c r="U152" s="36">
        <f t="shared" si="34"/>
        <v>4787508789.32</v>
      </c>
      <c r="V152" s="118">
        <v>3509.53</v>
      </c>
      <c r="W152" s="37">
        <f>T152*V152</f>
        <v>4802612959.35</v>
      </c>
      <c r="X152" s="36">
        <f t="shared" si="35"/>
        <v>15104170.03</v>
      </c>
      <c r="Z152" s="17"/>
      <c r="AA152" s="17"/>
      <c r="AB152" s="36">
        <f t="shared" si="28"/>
        <v>0</v>
      </c>
    </row>
    <row r="153" spans="1:28" ht="11.25" outlineLevel="1">
      <c r="A153" s="217"/>
      <c r="B153" s="49"/>
      <c r="C153" s="31" t="s">
        <v>97</v>
      </c>
      <c r="D153" s="5" t="s">
        <v>62</v>
      </c>
      <c r="E153" s="5">
        <v>1151</v>
      </c>
      <c r="F153" s="3" t="s">
        <v>100</v>
      </c>
      <c r="G153" s="113">
        <v>38778</v>
      </c>
      <c r="H153" s="49" t="s">
        <v>99</v>
      </c>
      <c r="I153" s="5" t="s">
        <v>101</v>
      </c>
      <c r="J153" s="36">
        <v>193804681</v>
      </c>
      <c r="K153" s="57">
        <v>5145514280.55</v>
      </c>
      <c r="L153" s="36"/>
      <c r="M153" s="36"/>
      <c r="N153" s="36">
        <v>969023</v>
      </c>
      <c r="O153" s="36">
        <v>28440825.05</v>
      </c>
      <c r="P153" s="36"/>
      <c r="Q153" s="36"/>
      <c r="R153" s="36">
        <f t="shared" si="32"/>
        <v>969023</v>
      </c>
      <c r="S153" s="36">
        <f t="shared" si="32"/>
        <v>28440825.05</v>
      </c>
      <c r="T153" s="36">
        <f t="shared" si="33"/>
        <v>192835658</v>
      </c>
      <c r="U153" s="36">
        <f t="shared" si="34"/>
        <v>5117073455.5</v>
      </c>
      <c r="V153" s="118">
        <v>28.63</v>
      </c>
      <c r="W153" s="37">
        <f t="shared" si="36"/>
        <v>5520884888.54</v>
      </c>
      <c r="X153" s="36">
        <f t="shared" si="35"/>
        <v>403811433.04</v>
      </c>
      <c r="Z153" s="17"/>
      <c r="AA153" s="17"/>
      <c r="AB153" s="36">
        <f t="shared" si="28"/>
        <v>0</v>
      </c>
    </row>
    <row r="154" spans="1:29" ht="11.25" outlineLevel="1">
      <c r="A154" s="217"/>
      <c r="B154" s="49"/>
      <c r="C154" s="31" t="s">
        <v>97</v>
      </c>
      <c r="D154" s="5" t="s">
        <v>62</v>
      </c>
      <c r="E154" s="5">
        <v>1151</v>
      </c>
      <c r="F154" s="3" t="s">
        <v>102</v>
      </c>
      <c r="G154" s="113">
        <v>38778</v>
      </c>
      <c r="H154" s="49" t="s">
        <v>99</v>
      </c>
      <c r="I154" s="5" t="s">
        <v>9</v>
      </c>
      <c r="J154" s="36">
        <v>44800847.9</v>
      </c>
      <c r="K154" s="57">
        <v>143327320610.16</v>
      </c>
      <c r="L154" s="36">
        <v>4182.13</v>
      </c>
      <c r="M154" s="36">
        <v>13281470.78</v>
      </c>
      <c r="N154" s="36">
        <v>224025.15</v>
      </c>
      <c r="O154" s="36">
        <v>673751158.12</v>
      </c>
      <c r="P154" s="36"/>
      <c r="Q154" s="36"/>
      <c r="R154" s="36">
        <f t="shared" si="32"/>
        <v>224025.15</v>
      </c>
      <c r="S154" s="36">
        <f t="shared" si="32"/>
        <v>673751158.12</v>
      </c>
      <c r="T154" s="36">
        <f t="shared" si="33"/>
        <v>44581004.88</v>
      </c>
      <c r="U154" s="36">
        <f t="shared" si="34"/>
        <v>142666850922.82</v>
      </c>
      <c r="V154" s="118">
        <v>3347.94</v>
      </c>
      <c r="W154" s="37">
        <f t="shared" si="36"/>
        <v>149254529477.95</v>
      </c>
      <c r="X154" s="36">
        <f t="shared" si="35"/>
        <v>0</v>
      </c>
      <c r="Z154" s="17"/>
      <c r="AA154" s="17"/>
      <c r="AB154" s="36">
        <f t="shared" si="28"/>
        <v>6587678555.13</v>
      </c>
      <c r="AC154" s="36">
        <v>6587678555.13</v>
      </c>
    </row>
    <row r="155" spans="1:28" ht="11.25" outlineLevel="1">
      <c r="A155" s="217"/>
      <c r="B155" s="49"/>
      <c r="C155" s="31" t="s">
        <v>103</v>
      </c>
      <c r="D155" s="5" t="s">
        <v>62</v>
      </c>
      <c r="E155" s="5">
        <v>1150</v>
      </c>
      <c r="F155" s="3" t="s">
        <v>104</v>
      </c>
      <c r="G155" s="113">
        <v>38778</v>
      </c>
      <c r="H155" s="49" t="s">
        <v>105</v>
      </c>
      <c r="I155" s="5" t="s">
        <v>58</v>
      </c>
      <c r="J155" s="36">
        <v>560607.08</v>
      </c>
      <c r="K155" s="57">
        <v>1960790535.15</v>
      </c>
      <c r="L155" s="36"/>
      <c r="M155" s="36"/>
      <c r="N155" s="36">
        <v>2803.04</v>
      </c>
      <c r="O155" s="36">
        <v>9317248.9</v>
      </c>
      <c r="P155" s="36"/>
      <c r="Q155" s="36"/>
      <c r="R155" s="36">
        <f t="shared" si="32"/>
        <v>2803.04</v>
      </c>
      <c r="S155" s="36">
        <f t="shared" si="32"/>
        <v>9317248.9</v>
      </c>
      <c r="T155" s="36">
        <f t="shared" si="33"/>
        <v>557804.04</v>
      </c>
      <c r="U155" s="36">
        <f t="shared" si="34"/>
        <v>1951473286.25</v>
      </c>
      <c r="V155" s="118">
        <v>3509.53</v>
      </c>
      <c r="W155" s="37">
        <f t="shared" si="36"/>
        <v>1957630012.5</v>
      </c>
      <c r="X155" s="36">
        <f t="shared" si="35"/>
        <v>6156726.25</v>
      </c>
      <c r="Z155" s="17"/>
      <c r="AA155" s="17"/>
      <c r="AB155" s="36">
        <f t="shared" si="28"/>
        <v>0</v>
      </c>
    </row>
    <row r="156" spans="1:28" ht="11.25" outlineLevel="1">
      <c r="A156" s="217"/>
      <c r="B156" s="49"/>
      <c r="C156" s="31" t="s">
        <v>103</v>
      </c>
      <c r="D156" s="5" t="s">
        <v>62</v>
      </c>
      <c r="E156" s="5">
        <v>1150</v>
      </c>
      <c r="F156" s="3" t="s">
        <v>106</v>
      </c>
      <c r="G156" s="113">
        <v>38778</v>
      </c>
      <c r="H156" s="49" t="s">
        <v>105</v>
      </c>
      <c r="I156" s="5" t="s">
        <v>101</v>
      </c>
      <c r="J156" s="36">
        <v>33174371</v>
      </c>
      <c r="K156" s="57">
        <v>880779550.05</v>
      </c>
      <c r="L156" s="36"/>
      <c r="M156" s="36"/>
      <c r="N156" s="36">
        <v>165872</v>
      </c>
      <c r="O156" s="36">
        <v>4868343.2</v>
      </c>
      <c r="P156" s="36"/>
      <c r="Q156" s="36"/>
      <c r="R156" s="36">
        <f t="shared" si="32"/>
        <v>165872</v>
      </c>
      <c r="S156" s="36">
        <f t="shared" si="32"/>
        <v>4868343.2</v>
      </c>
      <c r="T156" s="36">
        <f t="shared" si="33"/>
        <v>33008499</v>
      </c>
      <c r="U156" s="36">
        <f t="shared" si="34"/>
        <v>875911206.85</v>
      </c>
      <c r="V156" s="118">
        <v>28.63</v>
      </c>
      <c r="W156" s="37">
        <f t="shared" si="36"/>
        <v>945033326.37</v>
      </c>
      <c r="X156" s="36">
        <f t="shared" si="35"/>
        <v>69122119.52</v>
      </c>
      <c r="Z156" s="17"/>
      <c r="AA156" s="17"/>
      <c r="AB156" s="36">
        <f t="shared" si="28"/>
        <v>0</v>
      </c>
    </row>
    <row r="157" spans="1:29" ht="11.25" outlineLevel="1">
      <c r="A157" s="217"/>
      <c r="B157" s="49"/>
      <c r="C157" s="31" t="s">
        <v>103</v>
      </c>
      <c r="D157" s="5" t="s">
        <v>62</v>
      </c>
      <c r="E157" s="5">
        <v>1150</v>
      </c>
      <c r="F157" s="3" t="s">
        <v>107</v>
      </c>
      <c r="G157" s="113">
        <v>38778</v>
      </c>
      <c r="H157" s="49" t="s">
        <v>105</v>
      </c>
      <c r="I157" s="5" t="s">
        <v>9</v>
      </c>
      <c r="J157" s="36">
        <v>7533404.37</v>
      </c>
      <c r="K157" s="57">
        <v>24100942594.55</v>
      </c>
      <c r="L157" s="36"/>
      <c r="M157" s="36"/>
      <c r="N157" s="36">
        <v>37667.02</v>
      </c>
      <c r="O157" s="36">
        <v>113282809.31</v>
      </c>
      <c r="P157" s="36"/>
      <c r="Q157" s="36"/>
      <c r="R157" s="36">
        <f t="shared" si="32"/>
        <v>37667.02</v>
      </c>
      <c r="S157" s="36">
        <f t="shared" si="32"/>
        <v>113282809.31</v>
      </c>
      <c r="T157" s="36">
        <f t="shared" si="33"/>
        <v>7495737.35</v>
      </c>
      <c r="U157" s="36">
        <f t="shared" si="34"/>
        <v>23987659785.24</v>
      </c>
      <c r="V157" s="118">
        <v>3347.94</v>
      </c>
      <c r="W157" s="37">
        <f t="shared" si="36"/>
        <v>25095278903.56</v>
      </c>
      <c r="X157" s="36">
        <f t="shared" si="35"/>
        <v>0</v>
      </c>
      <c r="Z157" s="17"/>
      <c r="AA157" s="17"/>
      <c r="AB157" s="36">
        <f t="shared" si="28"/>
        <v>1107619118.32</v>
      </c>
      <c r="AC157" s="36">
        <v>1107619118.32</v>
      </c>
    </row>
    <row r="158" spans="1:28" ht="11.25" outlineLevel="1">
      <c r="A158" s="217"/>
      <c r="B158" s="49"/>
      <c r="C158" s="31" t="s">
        <v>108</v>
      </c>
      <c r="D158" s="5" t="s">
        <v>62</v>
      </c>
      <c r="E158" s="5">
        <v>1066</v>
      </c>
      <c r="F158" s="3" t="s">
        <v>109</v>
      </c>
      <c r="G158" s="113">
        <v>37019</v>
      </c>
      <c r="H158" s="49" t="s">
        <v>110</v>
      </c>
      <c r="I158" s="5" t="s">
        <v>58</v>
      </c>
      <c r="J158" s="36">
        <v>2094402.65</v>
      </c>
      <c r="K158" s="57">
        <v>7325424596.69</v>
      </c>
      <c r="L158" s="36"/>
      <c r="M158" s="36"/>
      <c r="N158" s="36">
        <v>21930.92</v>
      </c>
      <c r="O158" s="36">
        <v>77288034.83</v>
      </c>
      <c r="P158" s="36"/>
      <c r="Q158" s="36"/>
      <c r="R158" s="36">
        <f t="shared" si="32"/>
        <v>21930.92</v>
      </c>
      <c r="S158" s="36">
        <f t="shared" si="32"/>
        <v>77288034.83</v>
      </c>
      <c r="T158" s="36">
        <f t="shared" si="33"/>
        <v>2072471.73</v>
      </c>
      <c r="U158" s="36">
        <f t="shared" si="34"/>
        <v>7248136561.86</v>
      </c>
      <c r="V158" s="118">
        <v>3509.53</v>
      </c>
      <c r="W158" s="37">
        <f t="shared" si="36"/>
        <v>7273401710.59</v>
      </c>
      <c r="X158" s="36">
        <f t="shared" si="35"/>
        <v>25265148.73</v>
      </c>
      <c r="Z158" s="17"/>
      <c r="AA158" s="17"/>
      <c r="AB158" s="36">
        <f t="shared" si="28"/>
        <v>0</v>
      </c>
    </row>
    <row r="159" spans="1:29" ht="11.25" outlineLevel="1">
      <c r="A159" s="217"/>
      <c r="B159" s="49"/>
      <c r="C159" s="31" t="s">
        <v>108</v>
      </c>
      <c r="D159" s="5" t="s">
        <v>62</v>
      </c>
      <c r="E159" s="5">
        <v>1066</v>
      </c>
      <c r="F159" s="3" t="s">
        <v>111</v>
      </c>
      <c r="G159" s="113">
        <v>37019</v>
      </c>
      <c r="H159" s="49" t="s">
        <v>110</v>
      </c>
      <c r="I159" s="5" t="s">
        <v>9</v>
      </c>
      <c r="J159" s="36">
        <v>5764121.03</v>
      </c>
      <c r="K159" s="57">
        <v>18440633640.39</v>
      </c>
      <c r="L159" s="36"/>
      <c r="M159" s="36"/>
      <c r="N159" s="36">
        <v>60184.06</v>
      </c>
      <c r="O159" s="36">
        <v>188935217.72</v>
      </c>
      <c r="P159" s="36"/>
      <c r="Q159" s="36"/>
      <c r="R159" s="36">
        <f t="shared" si="32"/>
        <v>60184.06</v>
      </c>
      <c r="S159" s="36">
        <f t="shared" si="32"/>
        <v>188935217.72</v>
      </c>
      <c r="T159" s="36">
        <f t="shared" si="33"/>
        <v>5703936.97</v>
      </c>
      <c r="U159" s="36">
        <f t="shared" si="34"/>
        <v>18251698422.67</v>
      </c>
      <c r="V159" s="118">
        <v>3347.94</v>
      </c>
      <c r="W159" s="37">
        <f t="shared" si="36"/>
        <v>19096438739.34</v>
      </c>
      <c r="X159" s="36">
        <f t="shared" si="35"/>
        <v>0</v>
      </c>
      <c r="Z159" s="17"/>
      <c r="AA159" s="17"/>
      <c r="AB159" s="36">
        <f t="shared" si="28"/>
        <v>844740316.67</v>
      </c>
      <c r="AC159" s="36">
        <v>844740316.67</v>
      </c>
    </row>
    <row r="160" spans="1:28" ht="11.25" outlineLevel="1">
      <c r="A160" s="217"/>
      <c r="B160" s="49"/>
      <c r="C160" s="68" t="s">
        <v>112</v>
      </c>
      <c r="D160" s="69" t="s">
        <v>62</v>
      </c>
      <c r="E160" s="69">
        <v>1107</v>
      </c>
      <c r="F160" s="7" t="s">
        <v>113</v>
      </c>
      <c r="G160" s="140">
        <v>37775</v>
      </c>
      <c r="H160" s="70" t="s">
        <v>114</v>
      </c>
      <c r="I160" s="69" t="s">
        <v>58</v>
      </c>
      <c r="J160" s="36">
        <v>5774094.15</v>
      </c>
      <c r="K160" s="57">
        <v>20195587180.92</v>
      </c>
      <c r="L160" s="71"/>
      <c r="M160" s="71"/>
      <c r="N160" s="71">
        <v>59526.74</v>
      </c>
      <c r="O160" s="71">
        <v>209781657.78</v>
      </c>
      <c r="P160" s="71"/>
      <c r="Q160" s="71"/>
      <c r="R160" s="36">
        <f t="shared" si="32"/>
        <v>59526.74</v>
      </c>
      <c r="S160" s="36">
        <f t="shared" si="32"/>
        <v>209781657.78</v>
      </c>
      <c r="T160" s="36">
        <f t="shared" si="33"/>
        <v>5714567.41</v>
      </c>
      <c r="U160" s="36">
        <f t="shared" si="34"/>
        <v>19985805523.14</v>
      </c>
      <c r="V160" s="118">
        <v>3509.53</v>
      </c>
      <c r="W160" s="37">
        <f t="shared" si="36"/>
        <v>20055445762.42</v>
      </c>
      <c r="X160" s="36">
        <f t="shared" si="35"/>
        <v>69640239.28</v>
      </c>
      <c r="Z160" s="17"/>
      <c r="AA160" s="17"/>
      <c r="AB160" s="36">
        <f t="shared" si="28"/>
        <v>0</v>
      </c>
    </row>
    <row r="161" spans="1:29" ht="11.25" outlineLevel="1">
      <c r="A161" s="217"/>
      <c r="B161" s="49"/>
      <c r="C161" s="31" t="s">
        <v>112</v>
      </c>
      <c r="D161" s="5" t="s">
        <v>62</v>
      </c>
      <c r="E161" s="5">
        <v>1107</v>
      </c>
      <c r="F161" s="3" t="s">
        <v>115</v>
      </c>
      <c r="G161" s="113">
        <v>37775</v>
      </c>
      <c r="H161" s="49" t="s">
        <v>114</v>
      </c>
      <c r="I161" s="5" t="s">
        <v>9</v>
      </c>
      <c r="J161" s="36">
        <v>5335192.04</v>
      </c>
      <c r="K161" s="57">
        <v>17068399726.29</v>
      </c>
      <c r="L161" s="36"/>
      <c r="M161" s="36"/>
      <c r="N161" s="36">
        <v>55001.98</v>
      </c>
      <c r="O161" s="36">
        <v>172667165.79</v>
      </c>
      <c r="P161" s="36"/>
      <c r="Q161" s="36"/>
      <c r="R161" s="36">
        <f t="shared" si="32"/>
        <v>55001.98</v>
      </c>
      <c r="S161" s="36">
        <f t="shared" si="32"/>
        <v>172667165.79</v>
      </c>
      <c r="T161" s="36">
        <f t="shared" si="33"/>
        <v>5280190.06</v>
      </c>
      <c r="U161" s="36">
        <f t="shared" si="34"/>
        <v>16895732560.5</v>
      </c>
      <c r="V161" s="118">
        <v>3347.94</v>
      </c>
      <c r="W161" s="37">
        <f t="shared" si="36"/>
        <v>17677759509.48</v>
      </c>
      <c r="X161" s="36">
        <f t="shared" si="35"/>
        <v>0</v>
      </c>
      <c r="Z161" s="17"/>
      <c r="AA161" s="17"/>
      <c r="AB161" s="36">
        <f t="shared" si="28"/>
        <v>782026948.98</v>
      </c>
      <c r="AC161" s="36">
        <v>782026948.98</v>
      </c>
    </row>
    <row r="162" spans="1:28" ht="11.25" outlineLevel="1">
      <c r="A162" s="217"/>
      <c r="B162" s="49"/>
      <c r="C162" s="68" t="s">
        <v>116</v>
      </c>
      <c r="D162" s="69" t="s">
        <v>62</v>
      </c>
      <c r="E162" s="69">
        <v>1223</v>
      </c>
      <c r="F162" s="7" t="s">
        <v>117</v>
      </c>
      <c r="G162" s="140">
        <v>39532</v>
      </c>
      <c r="H162" s="70" t="s">
        <v>118</v>
      </c>
      <c r="I162" s="69" t="s">
        <v>58</v>
      </c>
      <c r="J162" s="36">
        <v>265814.77</v>
      </c>
      <c r="K162" s="57">
        <v>929719055.85</v>
      </c>
      <c r="L162" s="71"/>
      <c r="M162" s="71"/>
      <c r="N162" s="71"/>
      <c r="O162" s="71"/>
      <c r="P162" s="71"/>
      <c r="Q162" s="71"/>
      <c r="R162" s="36">
        <f t="shared" si="32"/>
        <v>0</v>
      </c>
      <c r="S162" s="36">
        <f t="shared" si="32"/>
        <v>0</v>
      </c>
      <c r="T162" s="36">
        <f t="shared" si="33"/>
        <v>265814.77</v>
      </c>
      <c r="U162" s="36">
        <f t="shared" si="34"/>
        <v>929719055.85</v>
      </c>
      <c r="V162" s="118">
        <v>3509.53</v>
      </c>
      <c r="W162" s="37">
        <f t="shared" si="36"/>
        <v>932884909.76</v>
      </c>
      <c r="X162" s="36">
        <f t="shared" si="35"/>
        <v>3165853.91</v>
      </c>
      <c r="Z162" s="17"/>
      <c r="AA162" s="17"/>
      <c r="AB162" s="36">
        <f t="shared" si="28"/>
        <v>0</v>
      </c>
    </row>
    <row r="163" spans="1:29" ht="11.25" outlineLevel="1">
      <c r="A163" s="217"/>
      <c r="B163" s="49"/>
      <c r="C163" s="31" t="s">
        <v>116</v>
      </c>
      <c r="D163" s="5" t="s">
        <v>62</v>
      </c>
      <c r="E163" s="5">
        <v>1223</v>
      </c>
      <c r="F163" s="3" t="s">
        <v>119</v>
      </c>
      <c r="G163" s="113">
        <v>39532</v>
      </c>
      <c r="H163" s="49" t="s">
        <v>118</v>
      </c>
      <c r="I163" s="5" t="s">
        <v>9</v>
      </c>
      <c r="J163" s="36">
        <v>13664032.45</v>
      </c>
      <c r="K163" s="57">
        <v>43714109254.36</v>
      </c>
      <c r="L163" s="36"/>
      <c r="M163" s="36"/>
      <c r="N163" s="36"/>
      <c r="O163" s="36"/>
      <c r="P163" s="36"/>
      <c r="Q163" s="36"/>
      <c r="R163" s="36">
        <f t="shared" si="32"/>
        <v>0</v>
      </c>
      <c r="S163" s="36">
        <f t="shared" si="32"/>
        <v>0</v>
      </c>
      <c r="T163" s="36">
        <f t="shared" si="33"/>
        <v>13664032.45</v>
      </c>
      <c r="U163" s="36">
        <f t="shared" si="34"/>
        <v>43714109254.36</v>
      </c>
      <c r="V163" s="118">
        <v>3347.94</v>
      </c>
      <c r="W163" s="37">
        <f t="shared" si="36"/>
        <v>45746360800.65</v>
      </c>
      <c r="X163" s="36">
        <f t="shared" si="35"/>
        <v>0</v>
      </c>
      <c r="Z163" s="17"/>
      <c r="AA163" s="17"/>
      <c r="AB163" s="36">
        <f t="shared" si="28"/>
        <v>2032251546.29</v>
      </c>
      <c r="AC163" s="36">
        <v>2032251546.29</v>
      </c>
    </row>
    <row r="164" spans="1:29" ht="11.25" outlineLevel="1">
      <c r="A164" s="217"/>
      <c r="B164" s="49"/>
      <c r="C164" s="68" t="s">
        <v>120</v>
      </c>
      <c r="D164" s="69" t="s">
        <v>62</v>
      </c>
      <c r="E164" s="69">
        <v>1228</v>
      </c>
      <c r="F164" s="7" t="s">
        <v>121</v>
      </c>
      <c r="G164" s="140">
        <v>39643</v>
      </c>
      <c r="H164" s="70" t="s">
        <v>122</v>
      </c>
      <c r="I164" s="69" t="s">
        <v>9</v>
      </c>
      <c r="J164" s="36">
        <v>46690800</v>
      </c>
      <c r="K164" s="57">
        <v>149373674268</v>
      </c>
      <c r="L164" s="71"/>
      <c r="M164" s="71"/>
      <c r="N164" s="71"/>
      <c r="O164" s="71"/>
      <c r="P164" s="71"/>
      <c r="Q164" s="71"/>
      <c r="R164" s="36">
        <f t="shared" si="32"/>
        <v>0</v>
      </c>
      <c r="S164" s="36">
        <f t="shared" si="32"/>
        <v>0</v>
      </c>
      <c r="T164" s="36">
        <f t="shared" si="33"/>
        <v>46690800</v>
      </c>
      <c r="U164" s="36">
        <f t="shared" si="34"/>
        <v>149373674268</v>
      </c>
      <c r="V164" s="118">
        <v>3347.94</v>
      </c>
      <c r="W164" s="37">
        <f t="shared" si="36"/>
        <v>156317996952</v>
      </c>
      <c r="X164" s="36">
        <f t="shared" si="35"/>
        <v>0</v>
      </c>
      <c r="Z164" s="17"/>
      <c r="AA164" s="17"/>
      <c r="AB164" s="36">
        <f t="shared" si="28"/>
        <v>6944322684</v>
      </c>
      <c r="AC164" s="71">
        <v>6944322684</v>
      </c>
    </row>
    <row r="165" spans="1:28" ht="11.25" outlineLevel="1">
      <c r="A165" s="217"/>
      <c r="B165" s="49"/>
      <c r="C165" s="68" t="s">
        <v>123</v>
      </c>
      <c r="D165" s="69" t="s">
        <v>62</v>
      </c>
      <c r="E165" s="69">
        <v>1133</v>
      </c>
      <c r="F165" s="7" t="s">
        <v>124</v>
      </c>
      <c r="G165" s="140">
        <v>38321</v>
      </c>
      <c r="H165" s="70" t="s">
        <v>125</v>
      </c>
      <c r="I165" s="69" t="s">
        <v>58</v>
      </c>
      <c r="J165" s="36">
        <v>7115602.06</v>
      </c>
      <c r="K165" s="57">
        <v>24887672077.1</v>
      </c>
      <c r="L165" s="71"/>
      <c r="M165" s="71"/>
      <c r="N165" s="71">
        <v>71874.76</v>
      </c>
      <c r="O165" s="71">
        <v>253298035.56</v>
      </c>
      <c r="P165" s="71"/>
      <c r="Q165" s="71"/>
      <c r="R165" s="36">
        <f t="shared" si="32"/>
        <v>71874.76</v>
      </c>
      <c r="S165" s="36">
        <f t="shared" si="32"/>
        <v>253298035.56</v>
      </c>
      <c r="T165" s="36">
        <f t="shared" si="33"/>
        <v>7043727.3</v>
      </c>
      <c r="U165" s="36">
        <f t="shared" si="34"/>
        <v>24634374041.54</v>
      </c>
      <c r="V165" s="118">
        <v>3509.53</v>
      </c>
      <c r="W165" s="37">
        <f>T165*V165</f>
        <v>24720172271.17</v>
      </c>
      <c r="X165" s="36">
        <f t="shared" si="35"/>
        <v>85798229.63</v>
      </c>
      <c r="Z165" s="17"/>
      <c r="AA165" s="17"/>
      <c r="AB165" s="36">
        <f t="shared" si="28"/>
        <v>0</v>
      </c>
    </row>
    <row r="166" spans="1:28" ht="11.25" outlineLevel="1">
      <c r="A166" s="217"/>
      <c r="B166" s="49"/>
      <c r="C166" s="68" t="s">
        <v>123</v>
      </c>
      <c r="D166" s="69" t="s">
        <v>62</v>
      </c>
      <c r="E166" s="69">
        <v>1133</v>
      </c>
      <c r="F166" s="7" t="s">
        <v>126</v>
      </c>
      <c r="G166" s="140">
        <v>38321</v>
      </c>
      <c r="H166" s="70" t="s">
        <v>125</v>
      </c>
      <c r="I166" s="69" t="s">
        <v>127</v>
      </c>
      <c r="J166" s="36">
        <v>1676143.61</v>
      </c>
      <c r="K166" s="57">
        <v>7945373270.17</v>
      </c>
      <c r="L166" s="71"/>
      <c r="M166" s="71"/>
      <c r="N166" s="71">
        <v>16930.74</v>
      </c>
      <c r="O166" s="71">
        <v>72115422.65</v>
      </c>
      <c r="P166" s="71"/>
      <c r="Q166" s="71"/>
      <c r="R166" s="36">
        <f t="shared" si="32"/>
        <v>16930.74</v>
      </c>
      <c r="S166" s="36">
        <f t="shared" si="32"/>
        <v>72115422.65</v>
      </c>
      <c r="T166" s="36">
        <f t="shared" si="33"/>
        <v>1659212.87</v>
      </c>
      <c r="U166" s="36">
        <f t="shared" si="34"/>
        <v>7873257847.52</v>
      </c>
      <c r="V166" s="118">
        <v>4117.46</v>
      </c>
      <c r="W166" s="37">
        <f t="shared" si="36"/>
        <v>6831742623.71</v>
      </c>
      <c r="X166" s="36">
        <f t="shared" si="35"/>
        <v>-1041515223.81</v>
      </c>
      <c r="Z166" s="17"/>
      <c r="AA166" s="17"/>
      <c r="AB166" s="36">
        <f t="shared" si="28"/>
        <v>0</v>
      </c>
    </row>
    <row r="167" spans="1:29" ht="11.25" outlineLevel="1">
      <c r="A167" s="217"/>
      <c r="B167" s="49"/>
      <c r="C167" s="68" t="s">
        <v>123</v>
      </c>
      <c r="D167" s="69" t="s">
        <v>62</v>
      </c>
      <c r="E167" s="69">
        <v>1133</v>
      </c>
      <c r="F167" s="7" t="s">
        <v>128</v>
      </c>
      <c r="G167" s="140">
        <v>38321</v>
      </c>
      <c r="H167" s="70" t="s">
        <v>125</v>
      </c>
      <c r="I167" s="69" t="s">
        <v>9</v>
      </c>
      <c r="J167" s="36">
        <v>38062854.52</v>
      </c>
      <c r="K167" s="57">
        <v>121771064808.93</v>
      </c>
      <c r="L167" s="71"/>
      <c r="M167" s="71"/>
      <c r="N167" s="71">
        <v>384473.28</v>
      </c>
      <c r="O167" s="71">
        <v>1206973123.17</v>
      </c>
      <c r="P167" s="71"/>
      <c r="Q167" s="71"/>
      <c r="R167" s="36">
        <f t="shared" si="32"/>
        <v>384473.28</v>
      </c>
      <c r="S167" s="36">
        <f t="shared" si="32"/>
        <v>1206973123.17</v>
      </c>
      <c r="T167" s="36">
        <f t="shared" si="33"/>
        <v>37678381.24</v>
      </c>
      <c r="U167" s="36">
        <f t="shared" si="34"/>
        <v>120564091685.76</v>
      </c>
      <c r="V167" s="118">
        <v>3347.94</v>
      </c>
      <c r="W167" s="37">
        <f t="shared" si="36"/>
        <v>126144959688.65</v>
      </c>
      <c r="X167" s="36">
        <f t="shared" si="35"/>
        <v>0</v>
      </c>
      <c r="Z167" s="17"/>
      <c r="AA167" s="17"/>
      <c r="AB167" s="36">
        <f t="shared" si="28"/>
        <v>5580868002.89</v>
      </c>
      <c r="AC167" s="71">
        <v>5580868002.89</v>
      </c>
    </row>
    <row r="168" spans="1:28" ht="11.25" outlineLevel="1">
      <c r="A168" s="217"/>
      <c r="B168" s="49"/>
      <c r="C168" s="31" t="s">
        <v>129</v>
      </c>
      <c r="D168" s="5" t="s">
        <v>62</v>
      </c>
      <c r="E168" s="5">
        <v>1260</v>
      </c>
      <c r="F168" s="3" t="s">
        <v>130</v>
      </c>
      <c r="G168" s="113">
        <v>39835</v>
      </c>
      <c r="H168" s="49" t="s">
        <v>131</v>
      </c>
      <c r="I168" s="5" t="s">
        <v>58</v>
      </c>
      <c r="J168" s="36">
        <v>11844839.14</v>
      </c>
      <c r="K168" s="57">
        <v>41428746272.85</v>
      </c>
      <c r="L168" s="36">
        <f>54130.23+1564613.97</f>
        <v>1618744.2</v>
      </c>
      <c r="M168" s="36">
        <f>195514342.32+5504074183.43</f>
        <v>5699588525.75</v>
      </c>
      <c r="N168" s="36">
        <v>256638.31</v>
      </c>
      <c r="O168" s="36">
        <v>902843107.1</v>
      </c>
      <c r="P168" s="36"/>
      <c r="Q168" s="36"/>
      <c r="R168" s="36">
        <f t="shared" si="32"/>
        <v>256638.31</v>
      </c>
      <c r="S168" s="36">
        <f t="shared" si="32"/>
        <v>902843107.1</v>
      </c>
      <c r="T168" s="36">
        <f t="shared" si="33"/>
        <v>13206945.03</v>
      </c>
      <c r="U168" s="36">
        <f t="shared" si="34"/>
        <v>46225491691.5</v>
      </c>
      <c r="V168" s="118">
        <v>3509.53</v>
      </c>
      <c r="W168" s="37">
        <f t="shared" si="36"/>
        <v>46350169791.14</v>
      </c>
      <c r="X168" s="36">
        <f t="shared" si="35"/>
        <v>124678099.64</v>
      </c>
      <c r="Z168" s="17"/>
      <c r="AA168" s="17"/>
      <c r="AB168" s="36">
        <f t="shared" si="28"/>
        <v>0</v>
      </c>
    </row>
    <row r="169" spans="1:28" ht="11.25" outlineLevel="1">
      <c r="A169" s="217"/>
      <c r="B169" s="49"/>
      <c r="C169" s="31" t="s">
        <v>129</v>
      </c>
      <c r="D169" s="5" t="s">
        <v>62</v>
      </c>
      <c r="E169" s="5">
        <v>1260</v>
      </c>
      <c r="F169" s="3" t="s">
        <v>132</v>
      </c>
      <c r="G169" s="113">
        <v>39835</v>
      </c>
      <c r="H169" s="49" t="s">
        <v>131</v>
      </c>
      <c r="I169" s="5" t="s">
        <v>9</v>
      </c>
      <c r="J169" s="36"/>
      <c r="K169" s="57"/>
      <c r="L169" s="36"/>
      <c r="M169" s="36"/>
      <c r="N169" s="36"/>
      <c r="O169" s="36"/>
      <c r="P169" s="34"/>
      <c r="Q169" s="34"/>
      <c r="R169" s="34">
        <f t="shared" si="32"/>
        <v>0</v>
      </c>
      <c r="S169" s="34">
        <f t="shared" si="32"/>
        <v>0</v>
      </c>
      <c r="T169" s="36">
        <f t="shared" si="33"/>
        <v>0</v>
      </c>
      <c r="U169" s="36">
        <f t="shared" si="34"/>
        <v>0</v>
      </c>
      <c r="V169" s="118">
        <v>3347.94</v>
      </c>
      <c r="W169" s="59">
        <f t="shared" si="36"/>
        <v>0</v>
      </c>
      <c r="X169" s="36">
        <f t="shared" si="35"/>
        <v>0</v>
      </c>
      <c r="Z169" s="17"/>
      <c r="AA169" s="17"/>
      <c r="AB169" s="36">
        <f t="shared" si="28"/>
        <v>0</v>
      </c>
    </row>
    <row r="170" spans="1:29" s="73" customFormat="1" ht="11.25" outlineLevel="1">
      <c r="A170" s="217"/>
      <c r="B170" s="49" t="s">
        <v>133</v>
      </c>
      <c r="C170" s="31" t="s">
        <v>134</v>
      </c>
      <c r="D170" s="5" t="s">
        <v>62</v>
      </c>
      <c r="E170" s="5">
        <v>1285</v>
      </c>
      <c r="F170" s="3" t="s">
        <v>135</v>
      </c>
      <c r="G170" s="113">
        <v>41463</v>
      </c>
      <c r="H170" s="49" t="s">
        <v>136</v>
      </c>
      <c r="I170" s="5" t="s">
        <v>58</v>
      </c>
      <c r="J170" s="36">
        <v>2360005.26</v>
      </c>
      <c r="K170" s="57">
        <v>8254401597.48</v>
      </c>
      <c r="L170" s="36">
        <v>2503301.81</v>
      </c>
      <c r="M170" s="36">
        <v>8825634920.33</v>
      </c>
      <c r="N170" s="72"/>
      <c r="O170" s="72"/>
      <c r="P170" s="36"/>
      <c r="Q170" s="36"/>
      <c r="R170" s="36">
        <f t="shared" si="32"/>
        <v>0</v>
      </c>
      <c r="S170" s="36">
        <f t="shared" si="32"/>
        <v>0</v>
      </c>
      <c r="T170" s="36">
        <f t="shared" si="33"/>
        <v>4863307.07</v>
      </c>
      <c r="U170" s="36">
        <f t="shared" si="34"/>
        <v>17080036517.81</v>
      </c>
      <c r="V170" s="118">
        <v>3509.53</v>
      </c>
      <c r="W170" s="59">
        <f t="shared" si="36"/>
        <v>17067922061.38</v>
      </c>
      <c r="X170" s="36">
        <f>+W170-U170-AB170-0.4</f>
        <v>-12114456.83</v>
      </c>
      <c r="Y170" s="22"/>
      <c r="AB170" s="36">
        <f t="shared" si="28"/>
        <v>0</v>
      </c>
      <c r="AC170" s="23"/>
    </row>
    <row r="171" spans="1:29" s="73" customFormat="1" ht="11.25" outlineLevel="1">
      <c r="A171" s="217"/>
      <c r="B171" s="49" t="s">
        <v>133</v>
      </c>
      <c r="C171" s="31" t="s">
        <v>134</v>
      </c>
      <c r="D171" s="5" t="s">
        <v>62</v>
      </c>
      <c r="E171" s="5">
        <v>1279</v>
      </c>
      <c r="F171" s="3" t="s">
        <v>137</v>
      </c>
      <c r="G171" s="113">
        <v>41463</v>
      </c>
      <c r="H171" s="49" t="s">
        <v>136</v>
      </c>
      <c r="I171" s="5" t="s">
        <v>138</v>
      </c>
      <c r="J171" s="36"/>
      <c r="K171" s="57"/>
      <c r="L171" s="36"/>
      <c r="M171" s="36"/>
      <c r="N171" s="72"/>
      <c r="O171" s="72"/>
      <c r="P171" s="36"/>
      <c r="Q171" s="36"/>
      <c r="R171" s="36">
        <f aca="true" t="shared" si="37" ref="R171:S183">+N171+P171</f>
        <v>0</v>
      </c>
      <c r="S171" s="36">
        <f t="shared" si="37"/>
        <v>0</v>
      </c>
      <c r="T171" s="36">
        <f t="shared" si="33"/>
        <v>0</v>
      </c>
      <c r="U171" s="36">
        <f t="shared" si="34"/>
        <v>0</v>
      </c>
      <c r="V171" s="118">
        <v>3509.53</v>
      </c>
      <c r="W171" s="59">
        <f t="shared" si="36"/>
        <v>0</v>
      </c>
      <c r="X171" s="36">
        <f t="shared" si="35"/>
        <v>0</v>
      </c>
      <c r="Y171" s="22"/>
      <c r="AB171" s="36">
        <f t="shared" si="28"/>
        <v>0</v>
      </c>
      <c r="AC171" s="23"/>
    </row>
    <row r="172" spans="1:29" s="73" customFormat="1" ht="11.25" outlineLevel="1">
      <c r="A172" s="217"/>
      <c r="B172" s="49" t="s">
        <v>133</v>
      </c>
      <c r="C172" s="31" t="s">
        <v>139</v>
      </c>
      <c r="D172" s="5" t="s">
        <v>62</v>
      </c>
      <c r="E172" s="5">
        <v>1292</v>
      </c>
      <c r="F172" s="3" t="s">
        <v>140</v>
      </c>
      <c r="G172" s="113">
        <v>41596</v>
      </c>
      <c r="H172" s="49" t="s">
        <v>141</v>
      </c>
      <c r="I172" s="5" t="s">
        <v>58</v>
      </c>
      <c r="J172" s="36">
        <v>1420733.12</v>
      </c>
      <c r="K172" s="57">
        <v>4969184575.17</v>
      </c>
      <c r="L172" s="36">
        <v>750499.67</v>
      </c>
      <c r="M172" s="36">
        <v>2682202891.13</v>
      </c>
      <c r="N172" s="72"/>
      <c r="O172" s="72"/>
      <c r="P172" s="36"/>
      <c r="Q172" s="36"/>
      <c r="R172" s="36">
        <f t="shared" si="37"/>
        <v>0</v>
      </c>
      <c r="S172" s="36">
        <f t="shared" si="37"/>
        <v>0</v>
      </c>
      <c r="T172" s="36">
        <f t="shared" si="33"/>
        <v>2171232.79</v>
      </c>
      <c r="U172" s="36">
        <f t="shared" si="34"/>
        <v>7651387466.3</v>
      </c>
      <c r="V172" s="118">
        <v>3509.53</v>
      </c>
      <c r="W172" s="59">
        <f t="shared" si="36"/>
        <v>7620006613.49</v>
      </c>
      <c r="X172" s="36">
        <f t="shared" si="35"/>
        <v>-31380852.81</v>
      </c>
      <c r="Y172" s="22"/>
      <c r="AB172" s="36">
        <f t="shared" si="28"/>
        <v>0</v>
      </c>
      <c r="AC172" s="23"/>
    </row>
    <row r="173" spans="1:29" s="73" customFormat="1" ht="11.25" outlineLevel="1">
      <c r="A173" s="217"/>
      <c r="B173" s="49" t="s">
        <v>133</v>
      </c>
      <c r="C173" s="31" t="s">
        <v>139</v>
      </c>
      <c r="D173" s="5" t="s">
        <v>62</v>
      </c>
      <c r="E173" s="5">
        <v>1277</v>
      </c>
      <c r="F173" s="3" t="s">
        <v>142</v>
      </c>
      <c r="G173" s="113">
        <v>41596</v>
      </c>
      <c r="H173" s="49" t="s">
        <v>143</v>
      </c>
      <c r="I173" s="5" t="s">
        <v>138</v>
      </c>
      <c r="J173" s="36"/>
      <c r="K173" s="57"/>
      <c r="L173" s="36"/>
      <c r="M173" s="36"/>
      <c r="N173" s="72"/>
      <c r="O173" s="72"/>
      <c r="P173" s="36"/>
      <c r="Q173" s="36"/>
      <c r="R173" s="36">
        <f t="shared" si="37"/>
        <v>0</v>
      </c>
      <c r="S173" s="36">
        <f t="shared" si="37"/>
        <v>0</v>
      </c>
      <c r="T173" s="36">
        <f t="shared" si="33"/>
        <v>0</v>
      </c>
      <c r="U173" s="36">
        <f t="shared" si="34"/>
        <v>0</v>
      </c>
      <c r="V173" s="118"/>
      <c r="W173" s="59">
        <f t="shared" si="36"/>
        <v>0</v>
      </c>
      <c r="X173" s="36">
        <f t="shared" si="35"/>
        <v>0</v>
      </c>
      <c r="Y173" s="22"/>
      <c r="AB173" s="36">
        <f t="shared" si="28"/>
        <v>0</v>
      </c>
      <c r="AC173" s="23"/>
    </row>
    <row r="174" spans="1:29" s="73" customFormat="1" ht="11.25" outlineLevel="1">
      <c r="A174" s="217"/>
      <c r="B174" s="49" t="s">
        <v>133</v>
      </c>
      <c r="C174" s="31" t="s">
        <v>144</v>
      </c>
      <c r="D174" s="5" t="s">
        <v>62</v>
      </c>
      <c r="E174" s="5">
        <v>1291</v>
      </c>
      <c r="F174" s="3" t="s">
        <v>145</v>
      </c>
      <c r="G174" s="113">
        <v>41596</v>
      </c>
      <c r="H174" s="49" t="s">
        <v>146</v>
      </c>
      <c r="I174" s="5" t="s">
        <v>58</v>
      </c>
      <c r="J174" s="36">
        <v>15076127.33</v>
      </c>
      <c r="K174" s="57">
        <v>52730564471.95</v>
      </c>
      <c r="L174" s="36">
        <v>6231200.03</v>
      </c>
      <c r="M174" s="36">
        <v>21600630891.72</v>
      </c>
      <c r="N174" s="72"/>
      <c r="O174" s="72"/>
      <c r="P174" s="36"/>
      <c r="Q174" s="36"/>
      <c r="R174" s="36">
        <f t="shared" si="37"/>
        <v>0</v>
      </c>
      <c r="S174" s="36">
        <f t="shared" si="37"/>
        <v>0</v>
      </c>
      <c r="T174" s="36">
        <f t="shared" si="33"/>
        <v>21307327.36</v>
      </c>
      <c r="U174" s="36">
        <f t="shared" si="34"/>
        <v>74331195363.67</v>
      </c>
      <c r="V174" s="118">
        <v>3509.53</v>
      </c>
      <c r="W174" s="59">
        <f t="shared" si="36"/>
        <v>74778704589.74</v>
      </c>
      <c r="X174" s="36">
        <f t="shared" si="35"/>
        <v>447509226.07</v>
      </c>
      <c r="Y174" s="22"/>
      <c r="AB174" s="36">
        <f t="shared" si="28"/>
        <v>0</v>
      </c>
      <c r="AC174" s="23"/>
    </row>
    <row r="175" spans="1:29" s="73" customFormat="1" ht="11.25" outlineLevel="1">
      <c r="A175" s="217"/>
      <c r="B175" s="49" t="s">
        <v>133</v>
      </c>
      <c r="C175" s="31" t="s">
        <v>144</v>
      </c>
      <c r="D175" s="5" t="s">
        <v>62</v>
      </c>
      <c r="E175" s="5">
        <v>1278</v>
      </c>
      <c r="F175" s="3" t="s">
        <v>147</v>
      </c>
      <c r="G175" s="113">
        <v>41596</v>
      </c>
      <c r="H175" s="49" t="s">
        <v>148</v>
      </c>
      <c r="I175" s="5" t="s">
        <v>138</v>
      </c>
      <c r="J175" s="36"/>
      <c r="K175" s="57"/>
      <c r="L175" s="36"/>
      <c r="M175" s="36"/>
      <c r="N175" s="72"/>
      <c r="O175" s="72"/>
      <c r="P175" s="36"/>
      <c r="Q175" s="36"/>
      <c r="R175" s="36">
        <f t="shared" si="37"/>
        <v>0</v>
      </c>
      <c r="S175" s="36">
        <f t="shared" si="37"/>
        <v>0</v>
      </c>
      <c r="T175" s="36">
        <f t="shared" si="33"/>
        <v>0</v>
      </c>
      <c r="U175" s="36">
        <f t="shared" si="34"/>
        <v>0</v>
      </c>
      <c r="V175" s="36"/>
      <c r="W175" s="59">
        <f aca="true" t="shared" si="38" ref="W175:W183">T175*V175</f>
        <v>0</v>
      </c>
      <c r="X175" s="36">
        <f t="shared" si="35"/>
        <v>0</v>
      </c>
      <c r="Y175" s="22"/>
      <c r="AB175" s="36">
        <f t="shared" si="28"/>
        <v>0</v>
      </c>
      <c r="AC175" s="23"/>
    </row>
    <row r="176" spans="1:29" s="73" customFormat="1" ht="11.25" outlineLevel="1">
      <c r="A176" s="217"/>
      <c r="B176" s="49" t="s">
        <v>133</v>
      </c>
      <c r="C176" s="31" t="s">
        <v>149</v>
      </c>
      <c r="D176" s="5" t="s">
        <v>62</v>
      </c>
      <c r="E176" s="5">
        <v>1286</v>
      </c>
      <c r="F176" s="3" t="s">
        <v>150</v>
      </c>
      <c r="G176" s="113">
        <v>41957</v>
      </c>
      <c r="H176" s="49" t="s">
        <v>151</v>
      </c>
      <c r="I176" s="5" t="s">
        <v>138</v>
      </c>
      <c r="J176" s="36">
        <v>35095500</v>
      </c>
      <c r="K176" s="57">
        <v>112277874555</v>
      </c>
      <c r="L176" s="36"/>
      <c r="M176" s="36"/>
      <c r="N176" s="72"/>
      <c r="O176" s="72"/>
      <c r="P176" s="36"/>
      <c r="Q176" s="36"/>
      <c r="R176" s="36">
        <f t="shared" si="37"/>
        <v>0</v>
      </c>
      <c r="S176" s="36">
        <f t="shared" si="37"/>
        <v>0</v>
      </c>
      <c r="T176" s="36">
        <f t="shared" si="33"/>
        <v>35095500</v>
      </c>
      <c r="U176" s="36">
        <f t="shared" si="34"/>
        <v>112277874555</v>
      </c>
      <c r="V176" s="118">
        <v>3347.94</v>
      </c>
      <c r="W176" s="59">
        <f t="shared" si="38"/>
        <v>117497628270</v>
      </c>
      <c r="X176" s="36">
        <f t="shared" si="35"/>
        <v>0</v>
      </c>
      <c r="Y176" s="22"/>
      <c r="AB176" s="36">
        <f t="shared" si="28"/>
        <v>5219753715</v>
      </c>
      <c r="AC176" s="20">
        <v>5219753715</v>
      </c>
    </row>
    <row r="177" spans="1:29" s="73" customFormat="1" ht="11.25" outlineLevel="1">
      <c r="A177" s="217"/>
      <c r="B177" s="49" t="s">
        <v>133</v>
      </c>
      <c r="C177" s="31" t="s">
        <v>152</v>
      </c>
      <c r="D177" s="5" t="s">
        <v>62</v>
      </c>
      <c r="E177" s="5">
        <v>1296</v>
      </c>
      <c r="F177" s="3" t="s">
        <v>153</v>
      </c>
      <c r="G177" s="113">
        <v>42069</v>
      </c>
      <c r="H177" s="49" t="s">
        <v>154</v>
      </c>
      <c r="I177" s="5" t="s">
        <v>9</v>
      </c>
      <c r="J177" s="36">
        <v>0</v>
      </c>
      <c r="K177" s="57">
        <v>0</v>
      </c>
      <c r="L177" s="36">
        <v>226581.66</v>
      </c>
      <c r="M177" s="36">
        <v>709143154.71</v>
      </c>
      <c r="N177" s="72"/>
      <c r="O177" s="72"/>
      <c r="P177" s="36"/>
      <c r="Q177" s="36"/>
      <c r="R177" s="36">
        <f t="shared" si="37"/>
        <v>0</v>
      </c>
      <c r="S177" s="36">
        <f t="shared" si="37"/>
        <v>0</v>
      </c>
      <c r="T177" s="36">
        <f t="shared" si="33"/>
        <v>226581.66</v>
      </c>
      <c r="U177" s="36">
        <f t="shared" si="34"/>
        <v>709143154.71</v>
      </c>
      <c r="V177" s="118">
        <v>3347.94</v>
      </c>
      <c r="W177" s="59">
        <f t="shared" si="38"/>
        <v>758581802.78</v>
      </c>
      <c r="X177" s="36">
        <f t="shared" si="35"/>
        <v>49438648.07</v>
      </c>
      <c r="Y177" s="22"/>
      <c r="AB177" s="36">
        <f t="shared" si="28"/>
        <v>0</v>
      </c>
      <c r="AC177" s="23"/>
    </row>
    <row r="178" spans="1:29" s="73" customFormat="1" ht="11.25" outlineLevel="1">
      <c r="A178" s="217"/>
      <c r="B178" s="49" t="s">
        <v>133</v>
      </c>
      <c r="C178" s="31" t="s">
        <v>155</v>
      </c>
      <c r="D178" s="5" t="s">
        <v>62</v>
      </c>
      <c r="E178" s="5">
        <v>1297</v>
      </c>
      <c r="F178" s="3" t="s">
        <v>156</v>
      </c>
      <c r="G178" s="113">
        <v>42069</v>
      </c>
      <c r="H178" s="49" t="s">
        <v>157</v>
      </c>
      <c r="I178" s="5" t="s">
        <v>9</v>
      </c>
      <c r="J178" s="36">
        <v>0</v>
      </c>
      <c r="K178" s="57">
        <v>0</v>
      </c>
      <c r="L178" s="36">
        <v>8415.05</v>
      </c>
      <c r="M178" s="36">
        <v>25648904.1</v>
      </c>
      <c r="N178" s="72"/>
      <c r="O178" s="72"/>
      <c r="P178" s="36"/>
      <c r="Q178" s="36"/>
      <c r="R178" s="36">
        <f t="shared" si="37"/>
        <v>0</v>
      </c>
      <c r="S178" s="36">
        <f t="shared" si="37"/>
        <v>0</v>
      </c>
      <c r="T178" s="36">
        <f t="shared" si="33"/>
        <v>8415.05</v>
      </c>
      <c r="U178" s="36">
        <f t="shared" si="34"/>
        <v>25648904.1</v>
      </c>
      <c r="V178" s="118">
        <v>3347.94</v>
      </c>
      <c r="W178" s="59">
        <f t="shared" si="38"/>
        <v>28173082.5</v>
      </c>
      <c r="X178" s="36">
        <f t="shared" si="35"/>
        <v>2524178.4</v>
      </c>
      <c r="Y178" s="22"/>
      <c r="AB178" s="36">
        <f t="shared" si="28"/>
        <v>0</v>
      </c>
      <c r="AC178" s="23"/>
    </row>
    <row r="179" spans="1:29" s="73" customFormat="1" ht="11.25" outlineLevel="1">
      <c r="A179" s="217"/>
      <c r="B179" s="49" t="s">
        <v>133</v>
      </c>
      <c r="C179" s="31" t="s">
        <v>513</v>
      </c>
      <c r="D179" s="5" t="s">
        <v>514</v>
      </c>
      <c r="E179" s="5"/>
      <c r="F179" s="3" t="s">
        <v>515</v>
      </c>
      <c r="G179" s="113">
        <v>42275</v>
      </c>
      <c r="H179" s="49" t="s">
        <v>576</v>
      </c>
      <c r="I179" s="5" t="s">
        <v>9</v>
      </c>
      <c r="J179" s="36">
        <v>0</v>
      </c>
      <c r="K179" s="57">
        <v>0</v>
      </c>
      <c r="L179" s="36">
        <v>54613.51</v>
      </c>
      <c r="M179" s="36">
        <v>177648463.73</v>
      </c>
      <c r="N179" s="72"/>
      <c r="O179" s="72"/>
      <c r="P179" s="36"/>
      <c r="Q179" s="36"/>
      <c r="R179" s="36">
        <f t="shared" si="37"/>
        <v>0</v>
      </c>
      <c r="S179" s="36">
        <f t="shared" si="37"/>
        <v>0</v>
      </c>
      <c r="T179" s="36">
        <f t="shared" si="33"/>
        <v>54613.51</v>
      </c>
      <c r="U179" s="36">
        <f t="shared" si="34"/>
        <v>177648463.73</v>
      </c>
      <c r="V179" s="118">
        <v>3347.94</v>
      </c>
      <c r="W179" s="59">
        <f t="shared" si="38"/>
        <v>182842754.67</v>
      </c>
      <c r="X179" s="36">
        <f t="shared" si="35"/>
        <v>5194290.94</v>
      </c>
      <c r="Y179" s="22"/>
      <c r="AB179" s="36">
        <f t="shared" si="28"/>
        <v>0</v>
      </c>
      <c r="AC179" s="23"/>
    </row>
    <row r="180" spans="1:29" s="73" customFormat="1" ht="11.25" outlineLevel="1">
      <c r="A180" s="217"/>
      <c r="B180" s="49" t="s">
        <v>133</v>
      </c>
      <c r="C180" s="31" t="s">
        <v>516</v>
      </c>
      <c r="D180" s="5" t="s">
        <v>62</v>
      </c>
      <c r="E180" s="5"/>
      <c r="F180" s="3" t="s">
        <v>517</v>
      </c>
      <c r="G180" s="113">
        <v>42275</v>
      </c>
      <c r="H180" s="49" t="s">
        <v>577</v>
      </c>
      <c r="I180" s="5" t="s">
        <v>9</v>
      </c>
      <c r="J180" s="36">
        <v>0</v>
      </c>
      <c r="K180" s="57">
        <v>0</v>
      </c>
      <c r="L180" s="36">
        <v>18292.47</v>
      </c>
      <c r="M180" s="36">
        <v>57668533.35</v>
      </c>
      <c r="N180" s="72"/>
      <c r="O180" s="72"/>
      <c r="P180" s="36"/>
      <c r="Q180" s="36"/>
      <c r="R180" s="36">
        <f t="shared" si="37"/>
        <v>0</v>
      </c>
      <c r="S180" s="36">
        <f t="shared" si="37"/>
        <v>0</v>
      </c>
      <c r="T180" s="36">
        <f t="shared" si="33"/>
        <v>18292.47</v>
      </c>
      <c r="U180" s="36">
        <f t="shared" si="34"/>
        <v>57668533.35</v>
      </c>
      <c r="V180" s="118">
        <v>3347.94</v>
      </c>
      <c r="W180" s="59">
        <f t="shared" si="38"/>
        <v>61242092.01</v>
      </c>
      <c r="X180" s="36">
        <f t="shared" si="35"/>
        <v>3573558.66</v>
      </c>
      <c r="Y180" s="22"/>
      <c r="AB180" s="36">
        <f t="shared" si="28"/>
        <v>0</v>
      </c>
      <c r="AC180" s="23"/>
    </row>
    <row r="181" spans="1:29" s="73" customFormat="1" ht="11.25" outlineLevel="1">
      <c r="A181" s="217"/>
      <c r="B181" s="49" t="s">
        <v>133</v>
      </c>
      <c r="C181" s="31" t="s">
        <v>518</v>
      </c>
      <c r="D181" s="5" t="s">
        <v>62</v>
      </c>
      <c r="E181" s="5"/>
      <c r="F181" s="3" t="s">
        <v>519</v>
      </c>
      <c r="G181" s="113">
        <v>42317</v>
      </c>
      <c r="H181" s="49" t="s">
        <v>578</v>
      </c>
      <c r="I181" s="5" t="s">
        <v>9</v>
      </c>
      <c r="J181" s="36">
        <v>0</v>
      </c>
      <c r="K181" s="57">
        <v>0</v>
      </c>
      <c r="L181" s="36">
        <v>167674.17</v>
      </c>
      <c r="M181" s="36">
        <v>548473947.26</v>
      </c>
      <c r="N181" s="72"/>
      <c r="O181" s="72"/>
      <c r="P181" s="36"/>
      <c r="Q181" s="36"/>
      <c r="R181" s="36">
        <f t="shared" si="37"/>
        <v>0</v>
      </c>
      <c r="S181" s="36">
        <f t="shared" si="37"/>
        <v>0</v>
      </c>
      <c r="T181" s="36">
        <f t="shared" si="33"/>
        <v>167674.17</v>
      </c>
      <c r="U181" s="36">
        <f t="shared" si="34"/>
        <v>548473947.26</v>
      </c>
      <c r="V181" s="118">
        <v>3347.94</v>
      </c>
      <c r="W181" s="59">
        <f t="shared" si="38"/>
        <v>561363060.71</v>
      </c>
      <c r="X181" s="36">
        <f t="shared" si="35"/>
        <v>12889113.45</v>
      </c>
      <c r="Y181" s="22"/>
      <c r="AB181" s="36">
        <f t="shared" si="28"/>
        <v>0</v>
      </c>
      <c r="AC181" s="23"/>
    </row>
    <row r="182" spans="1:29" s="73" customFormat="1" ht="11.25" outlineLevel="1">
      <c r="A182" s="217"/>
      <c r="B182" s="49" t="s">
        <v>133</v>
      </c>
      <c r="C182" s="31" t="s">
        <v>520</v>
      </c>
      <c r="D182" s="5" t="s">
        <v>514</v>
      </c>
      <c r="E182" s="5"/>
      <c r="F182" s="3" t="s">
        <v>521</v>
      </c>
      <c r="G182" s="113">
        <v>42317</v>
      </c>
      <c r="H182" s="49" t="s">
        <v>579</v>
      </c>
      <c r="I182" s="5" t="s">
        <v>9</v>
      </c>
      <c r="J182" s="36">
        <v>0</v>
      </c>
      <c r="K182" s="57">
        <v>0</v>
      </c>
      <c r="L182" s="36">
        <v>78506.43</v>
      </c>
      <c r="M182" s="36">
        <v>257963493.27</v>
      </c>
      <c r="N182" s="72"/>
      <c r="O182" s="72"/>
      <c r="P182" s="36"/>
      <c r="Q182" s="36"/>
      <c r="R182" s="36">
        <f t="shared" si="37"/>
        <v>0</v>
      </c>
      <c r="S182" s="36">
        <f t="shared" si="37"/>
        <v>0</v>
      </c>
      <c r="T182" s="36">
        <f t="shared" si="33"/>
        <v>78506.43</v>
      </c>
      <c r="U182" s="36">
        <f t="shared" si="34"/>
        <v>257963493.27</v>
      </c>
      <c r="V182" s="118">
        <v>3347.94</v>
      </c>
      <c r="W182" s="59">
        <f t="shared" si="38"/>
        <v>262834817.25</v>
      </c>
      <c r="X182" s="36">
        <f t="shared" si="35"/>
        <v>4871323.98</v>
      </c>
      <c r="Y182" s="22"/>
      <c r="AB182" s="36">
        <f t="shared" si="28"/>
        <v>0</v>
      </c>
      <c r="AC182" s="23"/>
    </row>
    <row r="183" spans="1:29" s="73" customFormat="1" ht="22.5" customHeight="1" outlineLevel="1">
      <c r="A183" s="217"/>
      <c r="B183" s="49" t="s">
        <v>133</v>
      </c>
      <c r="C183" s="31" t="s">
        <v>522</v>
      </c>
      <c r="D183" s="5" t="s">
        <v>62</v>
      </c>
      <c r="E183" s="5"/>
      <c r="F183" s="3" t="s">
        <v>523</v>
      </c>
      <c r="G183" s="113">
        <v>42486</v>
      </c>
      <c r="H183" s="114" t="s">
        <v>524</v>
      </c>
      <c r="I183" s="5" t="s">
        <v>9</v>
      </c>
      <c r="J183" s="36">
        <v>0</v>
      </c>
      <c r="K183" s="57">
        <v>0</v>
      </c>
      <c r="L183" s="36">
        <v>17472000</v>
      </c>
      <c r="M183" s="36">
        <v>52599281280</v>
      </c>
      <c r="N183" s="72"/>
      <c r="O183" s="72"/>
      <c r="P183" s="36"/>
      <c r="Q183" s="36"/>
      <c r="R183" s="36">
        <f t="shared" si="37"/>
        <v>0</v>
      </c>
      <c r="S183" s="36">
        <f t="shared" si="37"/>
        <v>0</v>
      </c>
      <c r="T183" s="36">
        <f t="shared" si="33"/>
        <v>17472000</v>
      </c>
      <c r="U183" s="36">
        <f t="shared" si="34"/>
        <v>52599281280</v>
      </c>
      <c r="V183" s="118">
        <v>3347.94</v>
      </c>
      <c r="W183" s="59">
        <f t="shared" si="38"/>
        <v>58495207680</v>
      </c>
      <c r="X183" s="36">
        <f t="shared" si="35"/>
        <v>5895926400</v>
      </c>
      <c r="Y183" s="22"/>
      <c r="AB183" s="36">
        <f aca="true" t="shared" si="39" ref="AB183:AB246">+AC183-AA183</f>
        <v>0</v>
      </c>
      <c r="AC183" s="23"/>
    </row>
    <row r="184" spans="1:28" ht="11.25" outlineLevel="1">
      <c r="A184" s="217"/>
      <c r="C184" s="38"/>
      <c r="E184" s="18"/>
      <c r="F184" s="9"/>
      <c r="G184" s="121"/>
      <c r="H184" s="40" t="s">
        <v>158</v>
      </c>
      <c r="I184" s="5"/>
      <c r="J184" s="15">
        <f aca="true" t="shared" si="40" ref="J184:U184">SUM(J136:J183)</f>
        <v>587072796.33</v>
      </c>
      <c r="K184" s="15">
        <f t="shared" si="40"/>
        <v>1182263635409.4</v>
      </c>
      <c r="L184" s="15">
        <f t="shared" si="40"/>
        <v>29134011.13</v>
      </c>
      <c r="M184" s="15">
        <f t="shared" si="40"/>
        <v>93197166476.13</v>
      </c>
      <c r="N184" s="15">
        <f t="shared" si="40"/>
        <v>3495354.16</v>
      </c>
      <c r="O184" s="15">
        <f t="shared" si="40"/>
        <v>7676164799.13</v>
      </c>
      <c r="P184" s="15">
        <f t="shared" si="40"/>
        <v>0</v>
      </c>
      <c r="Q184" s="15">
        <f t="shared" si="40"/>
        <v>0</v>
      </c>
      <c r="R184" s="15">
        <f t="shared" si="40"/>
        <v>3495354.16</v>
      </c>
      <c r="S184" s="15">
        <f t="shared" si="40"/>
        <v>7676164799.13</v>
      </c>
      <c r="T184" s="15">
        <f t="shared" si="40"/>
        <v>612711453.3</v>
      </c>
      <c r="U184" s="15">
        <f t="shared" si="40"/>
        <v>1267784637086.4</v>
      </c>
      <c r="V184" s="15"/>
      <c r="W184" s="15">
        <f>SUM(W136:W183)</f>
        <v>1316348597279.73</v>
      </c>
      <c r="X184" s="15">
        <f>SUM(X136:X183)</f>
        <v>6428151706.13</v>
      </c>
      <c r="Z184" s="17"/>
      <c r="AA184" s="17"/>
      <c r="AB184" s="36">
        <f t="shared" si="39"/>
        <v>0</v>
      </c>
    </row>
    <row r="185" spans="1:28" ht="7.5" customHeight="1" outlineLevel="1">
      <c r="A185" s="217"/>
      <c r="P185" s="98"/>
      <c r="Q185" s="98"/>
      <c r="R185" s="98"/>
      <c r="S185" s="98"/>
      <c r="V185" s="98"/>
      <c r="W185" s="141"/>
      <c r="Z185" s="17"/>
      <c r="AA185" s="17"/>
      <c r="AB185" s="36">
        <f t="shared" si="39"/>
        <v>0</v>
      </c>
    </row>
    <row r="186" spans="1:28" ht="11.25" outlineLevel="1">
      <c r="A186" s="217"/>
      <c r="B186" s="146">
        <v>1621108</v>
      </c>
      <c r="C186" s="49"/>
      <c r="D186" s="5"/>
      <c r="E186" s="5"/>
      <c r="F186" s="3"/>
      <c r="G186" s="113"/>
      <c r="H186" s="27" t="s">
        <v>219</v>
      </c>
      <c r="I186" s="5"/>
      <c r="J186" s="36"/>
      <c r="K186" s="57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7"/>
      <c r="X186" s="36"/>
      <c r="Z186" s="17"/>
      <c r="AA186" s="17"/>
      <c r="AB186" s="36">
        <f t="shared" si="39"/>
        <v>0</v>
      </c>
    </row>
    <row r="187" spans="1:29" ht="11.25" outlineLevel="1">
      <c r="A187" s="217"/>
      <c r="B187" s="49"/>
      <c r="C187" s="31" t="s">
        <v>220</v>
      </c>
      <c r="D187" s="5" t="s">
        <v>219</v>
      </c>
      <c r="E187" s="5">
        <v>734</v>
      </c>
      <c r="F187" s="3" t="s">
        <v>221</v>
      </c>
      <c r="G187" s="113">
        <v>35214</v>
      </c>
      <c r="H187" s="49" t="s">
        <v>222</v>
      </c>
      <c r="I187" s="5" t="s">
        <v>168</v>
      </c>
      <c r="J187" s="36">
        <v>2109740.09</v>
      </c>
      <c r="K187" s="57">
        <v>9375389596.35</v>
      </c>
      <c r="L187" s="36"/>
      <c r="M187" s="36"/>
      <c r="N187" s="36">
        <v>105484.66</v>
      </c>
      <c r="O187" s="36">
        <v>475702464.92</v>
      </c>
      <c r="P187" s="36"/>
      <c r="Q187" s="36"/>
      <c r="R187" s="36">
        <f aca="true" t="shared" si="41" ref="R187:S225">+N187+P187</f>
        <v>105484.66</v>
      </c>
      <c r="S187" s="36">
        <f t="shared" si="41"/>
        <v>475702464.92</v>
      </c>
      <c r="T187" s="36">
        <f aca="true" t="shared" si="42" ref="T187:T237">+J187+L187-R187</f>
        <v>2004255.43</v>
      </c>
      <c r="U187" s="36">
        <f aca="true" t="shared" si="43" ref="U187:U237">+K187+M187-S187-Z187+AA187</f>
        <v>8899687131.43</v>
      </c>
      <c r="V187" s="118">
        <v>4486.54</v>
      </c>
      <c r="W187" s="37">
        <f>T187*V187</f>
        <v>8992172156.91</v>
      </c>
      <c r="X187" s="36">
        <f aca="true" t="shared" si="44" ref="X187:X237">+W187-U187-AB187</f>
        <v>0</v>
      </c>
      <c r="Z187" s="1"/>
      <c r="AA187" s="1"/>
      <c r="AB187" s="36">
        <f t="shared" si="39"/>
        <v>92485025.48</v>
      </c>
      <c r="AC187" s="36">
        <v>92485025.48</v>
      </c>
    </row>
    <row r="188" spans="1:29" ht="11.25" outlineLevel="1">
      <c r="A188" s="217"/>
      <c r="B188" s="49"/>
      <c r="C188" s="31" t="s">
        <v>225</v>
      </c>
      <c r="D188" s="5" t="s">
        <v>219</v>
      </c>
      <c r="E188" s="5">
        <v>763</v>
      </c>
      <c r="F188" s="3" t="s">
        <v>226</v>
      </c>
      <c r="G188" s="113">
        <v>35777</v>
      </c>
      <c r="H188" s="49" t="s">
        <v>227</v>
      </c>
      <c r="I188" s="5" t="s">
        <v>168</v>
      </c>
      <c r="J188" s="36">
        <v>3788425.54</v>
      </c>
      <c r="K188" s="57">
        <v>16835232720.18</v>
      </c>
      <c r="L188" s="36"/>
      <c r="M188" s="36"/>
      <c r="N188" s="36">
        <v>90199.74</v>
      </c>
      <c r="O188" s="36">
        <v>406772327.09</v>
      </c>
      <c r="P188" s="36"/>
      <c r="Q188" s="36"/>
      <c r="R188" s="36">
        <f t="shared" si="41"/>
        <v>90199.74</v>
      </c>
      <c r="S188" s="36">
        <f t="shared" si="41"/>
        <v>406772327.09</v>
      </c>
      <c r="T188" s="36">
        <f t="shared" si="42"/>
        <v>3698225.8</v>
      </c>
      <c r="U188" s="36">
        <f t="shared" si="43"/>
        <v>16428460393.09</v>
      </c>
      <c r="V188" s="118">
        <v>4486.54</v>
      </c>
      <c r="W188" s="37">
        <f aca="true" t="shared" si="45" ref="W188:W237">T188*V188</f>
        <v>16592237980.73</v>
      </c>
      <c r="X188" s="36">
        <f t="shared" si="44"/>
        <v>0</v>
      </c>
      <c r="Z188" s="1"/>
      <c r="AA188" s="1"/>
      <c r="AB188" s="36">
        <f t="shared" si="39"/>
        <v>163777587.64</v>
      </c>
      <c r="AC188" s="36">
        <v>163777587.64</v>
      </c>
    </row>
    <row r="189" spans="1:29" ht="11.25" outlineLevel="1">
      <c r="A189" s="217"/>
      <c r="B189" s="49"/>
      <c r="C189" s="31" t="s">
        <v>228</v>
      </c>
      <c r="D189" s="5" t="s">
        <v>219</v>
      </c>
      <c r="E189" s="5">
        <v>765</v>
      </c>
      <c r="F189" s="3" t="s">
        <v>229</v>
      </c>
      <c r="G189" s="113">
        <v>35894</v>
      </c>
      <c r="H189" s="49" t="s">
        <v>230</v>
      </c>
      <c r="I189" s="5" t="s">
        <v>168</v>
      </c>
      <c r="J189" s="36">
        <v>7629505.54</v>
      </c>
      <c r="K189" s="57">
        <v>33904454488.98</v>
      </c>
      <c r="L189" s="36"/>
      <c r="M189" s="36"/>
      <c r="N189" s="36">
        <v>181652.62</v>
      </c>
      <c r="O189" s="36">
        <v>836927424.62</v>
      </c>
      <c r="P189" s="36"/>
      <c r="Q189" s="36"/>
      <c r="R189" s="36">
        <f t="shared" si="41"/>
        <v>181652.62</v>
      </c>
      <c r="S189" s="36">
        <f t="shared" si="41"/>
        <v>836927424.62</v>
      </c>
      <c r="T189" s="36">
        <f t="shared" si="42"/>
        <v>7447852.92</v>
      </c>
      <c r="U189" s="36">
        <f t="shared" si="43"/>
        <v>33067527064.36</v>
      </c>
      <c r="V189" s="118">
        <v>4486.54</v>
      </c>
      <c r="W189" s="37">
        <f t="shared" si="45"/>
        <v>33415090039.7</v>
      </c>
      <c r="X189" s="36">
        <f t="shared" si="44"/>
        <v>0</v>
      </c>
      <c r="Z189" s="1"/>
      <c r="AA189" s="1"/>
      <c r="AB189" s="36">
        <f t="shared" si="39"/>
        <v>347562975.34</v>
      </c>
      <c r="AC189" s="36">
        <v>347562975.34</v>
      </c>
    </row>
    <row r="190" spans="1:29" ht="11.25" outlineLevel="1">
      <c r="A190" s="217"/>
      <c r="B190" s="49"/>
      <c r="C190" s="31" t="s">
        <v>231</v>
      </c>
      <c r="D190" s="5" t="s">
        <v>219</v>
      </c>
      <c r="E190" s="5">
        <v>748</v>
      </c>
      <c r="F190" s="3" t="s">
        <v>232</v>
      </c>
      <c r="G190" s="113">
        <v>35625</v>
      </c>
      <c r="H190" s="49" t="s">
        <v>233</v>
      </c>
      <c r="I190" s="5" t="s">
        <v>168</v>
      </c>
      <c r="J190" s="36">
        <v>6378760.05</v>
      </c>
      <c r="K190" s="57">
        <v>28346316635.79</v>
      </c>
      <c r="L190" s="36"/>
      <c r="M190" s="36"/>
      <c r="N190" s="36">
        <v>153704.26</v>
      </c>
      <c r="O190" s="36">
        <v>676154494.72</v>
      </c>
      <c r="P190" s="36"/>
      <c r="Q190" s="36"/>
      <c r="R190" s="36">
        <f t="shared" si="41"/>
        <v>153704.26</v>
      </c>
      <c r="S190" s="36">
        <f t="shared" si="41"/>
        <v>676154494.72</v>
      </c>
      <c r="T190" s="36">
        <f t="shared" si="42"/>
        <v>6225055.79</v>
      </c>
      <c r="U190" s="36">
        <f t="shared" si="43"/>
        <v>27670162141.07</v>
      </c>
      <c r="V190" s="118">
        <v>4486.54</v>
      </c>
      <c r="W190" s="37">
        <f t="shared" si="45"/>
        <v>27928961804.07</v>
      </c>
      <c r="X190" s="36">
        <f t="shared" si="44"/>
        <v>0</v>
      </c>
      <c r="Z190" s="1"/>
      <c r="AA190" s="1"/>
      <c r="AB190" s="36">
        <f t="shared" si="39"/>
        <v>258799663</v>
      </c>
      <c r="AC190" s="36">
        <v>258799663</v>
      </c>
    </row>
    <row r="191" spans="1:29" ht="11.25" outlineLevel="1">
      <c r="A191" s="217"/>
      <c r="B191" s="49"/>
      <c r="C191" s="31" t="s">
        <v>234</v>
      </c>
      <c r="D191" s="5" t="s">
        <v>219</v>
      </c>
      <c r="E191" s="5">
        <v>1025</v>
      </c>
      <c r="F191" s="3" t="s">
        <v>235</v>
      </c>
      <c r="G191" s="113">
        <v>36321</v>
      </c>
      <c r="H191" s="49" t="s">
        <v>236</v>
      </c>
      <c r="I191" s="5" t="s">
        <v>168</v>
      </c>
      <c r="J191" s="36">
        <v>4023960.36</v>
      </c>
      <c r="K191" s="57">
        <v>17881916485.39</v>
      </c>
      <c r="L191" s="36"/>
      <c r="M191" s="36"/>
      <c r="N191" s="57">
        <v>92504.84</v>
      </c>
      <c r="O191" s="57">
        <v>406934501.65</v>
      </c>
      <c r="P191" s="36"/>
      <c r="Q191" s="36"/>
      <c r="R191" s="36">
        <f t="shared" si="41"/>
        <v>92504.84</v>
      </c>
      <c r="S191" s="36">
        <f t="shared" si="41"/>
        <v>406934501.65</v>
      </c>
      <c r="T191" s="36">
        <f t="shared" si="42"/>
        <v>3931455.52</v>
      </c>
      <c r="U191" s="36">
        <f t="shared" si="43"/>
        <v>17474981983.74</v>
      </c>
      <c r="V191" s="118">
        <v>4486.54</v>
      </c>
      <c r="W191" s="37">
        <f t="shared" si="45"/>
        <v>17638632448.7</v>
      </c>
      <c r="X191" s="36">
        <f t="shared" si="44"/>
        <v>0</v>
      </c>
      <c r="Z191" s="1"/>
      <c r="AA191" s="1"/>
      <c r="AB191" s="36">
        <f t="shared" si="39"/>
        <v>163650464.96</v>
      </c>
      <c r="AC191" s="36">
        <v>163650464.96</v>
      </c>
    </row>
    <row r="192" spans="1:29" ht="11.25" outlineLevel="1">
      <c r="A192" s="217"/>
      <c r="B192" s="49"/>
      <c r="C192" s="31" t="s">
        <v>237</v>
      </c>
      <c r="D192" s="5" t="s">
        <v>219</v>
      </c>
      <c r="E192" s="5">
        <v>1039</v>
      </c>
      <c r="F192" s="3" t="s">
        <v>238</v>
      </c>
      <c r="G192" s="113">
        <v>36559</v>
      </c>
      <c r="H192" s="49" t="s">
        <v>239</v>
      </c>
      <c r="I192" s="5" t="s">
        <v>168</v>
      </c>
      <c r="J192" s="36">
        <v>11426364.73</v>
      </c>
      <c r="K192" s="57">
        <v>50777165169.06</v>
      </c>
      <c r="L192" s="36"/>
      <c r="M192" s="36"/>
      <c r="N192" s="57">
        <v>259690.12</v>
      </c>
      <c r="O192" s="57">
        <v>1152888556.9</v>
      </c>
      <c r="P192" s="36"/>
      <c r="Q192" s="36"/>
      <c r="R192" s="36">
        <f t="shared" si="41"/>
        <v>259690.12</v>
      </c>
      <c r="S192" s="36">
        <f t="shared" si="41"/>
        <v>1152888556.9</v>
      </c>
      <c r="T192" s="36">
        <f t="shared" si="42"/>
        <v>11166674.61</v>
      </c>
      <c r="U192" s="36">
        <f t="shared" si="43"/>
        <v>49624276612.16</v>
      </c>
      <c r="V192" s="118">
        <v>4486.54</v>
      </c>
      <c r="W192" s="37">
        <f t="shared" si="45"/>
        <v>50099732304.75</v>
      </c>
      <c r="X192" s="36">
        <f t="shared" si="44"/>
        <v>0</v>
      </c>
      <c r="Z192" s="1"/>
      <c r="AA192" s="1"/>
      <c r="AB192" s="36">
        <f t="shared" si="39"/>
        <v>475455692.59</v>
      </c>
      <c r="AC192" s="36">
        <v>475455692.59</v>
      </c>
    </row>
    <row r="193" spans="1:29" ht="11.25" outlineLevel="1">
      <c r="A193" s="217"/>
      <c r="B193" s="49"/>
      <c r="C193" s="31" t="s">
        <v>240</v>
      </c>
      <c r="D193" s="5" t="s">
        <v>219</v>
      </c>
      <c r="E193" s="5">
        <v>1043</v>
      </c>
      <c r="F193" s="3" t="s">
        <v>241</v>
      </c>
      <c r="G193" s="113">
        <v>36696</v>
      </c>
      <c r="H193" s="49" t="s">
        <v>242</v>
      </c>
      <c r="I193" s="5" t="s">
        <v>168</v>
      </c>
      <c r="J193" s="36">
        <v>11774704.31</v>
      </c>
      <c r="K193" s="57">
        <v>52325137495.04</v>
      </c>
      <c r="L193" s="36"/>
      <c r="M193" s="36"/>
      <c r="N193" s="57">
        <v>264600.06</v>
      </c>
      <c r="O193" s="57">
        <v>1193262592.01</v>
      </c>
      <c r="P193" s="36"/>
      <c r="Q193" s="36"/>
      <c r="R193" s="36">
        <f t="shared" si="41"/>
        <v>264600.06</v>
      </c>
      <c r="S193" s="36">
        <f t="shared" si="41"/>
        <v>1193262592.01</v>
      </c>
      <c r="T193" s="36">
        <f t="shared" si="42"/>
        <v>11510104.25</v>
      </c>
      <c r="U193" s="36">
        <f t="shared" si="43"/>
        <v>51131874903.03</v>
      </c>
      <c r="V193" s="118">
        <v>4486.54</v>
      </c>
      <c r="W193" s="37">
        <f t="shared" si="45"/>
        <v>51640543121.8</v>
      </c>
      <c r="X193" s="36">
        <f t="shared" si="44"/>
        <v>0</v>
      </c>
      <c r="Z193" s="1"/>
      <c r="AA193" s="1"/>
      <c r="AB193" s="36">
        <f t="shared" si="39"/>
        <v>508668218.77</v>
      </c>
      <c r="AC193" s="36">
        <v>508668218.77</v>
      </c>
    </row>
    <row r="194" spans="1:29" ht="11.25" outlineLevel="1">
      <c r="A194" s="217"/>
      <c r="B194" s="49"/>
      <c r="C194" s="31" t="s">
        <v>243</v>
      </c>
      <c r="D194" s="5" t="s">
        <v>219</v>
      </c>
      <c r="E194" s="5">
        <v>1100</v>
      </c>
      <c r="F194" s="3" t="s">
        <v>244</v>
      </c>
      <c r="G194" s="113">
        <v>37575</v>
      </c>
      <c r="H194" s="49" t="s">
        <v>245</v>
      </c>
      <c r="I194" s="5" t="s">
        <v>168</v>
      </c>
      <c r="J194" s="36">
        <v>53615148.6</v>
      </c>
      <c r="K194" s="57">
        <v>238258214257.6</v>
      </c>
      <c r="L194" s="36"/>
      <c r="M194" s="36"/>
      <c r="N194" s="57">
        <v>1153013.94</v>
      </c>
      <c r="O194" s="57">
        <v>5199728217.22</v>
      </c>
      <c r="P194" s="36"/>
      <c r="Q194" s="36"/>
      <c r="R194" s="36">
        <f t="shared" si="41"/>
        <v>1153013.94</v>
      </c>
      <c r="S194" s="36">
        <f t="shared" si="41"/>
        <v>5199728217.22</v>
      </c>
      <c r="T194" s="36">
        <f t="shared" si="42"/>
        <v>52462134.66</v>
      </c>
      <c r="U194" s="36">
        <f t="shared" si="43"/>
        <v>233058486040.38</v>
      </c>
      <c r="V194" s="118">
        <v>4486.54</v>
      </c>
      <c r="W194" s="37">
        <f t="shared" si="45"/>
        <v>235373465637.48</v>
      </c>
      <c r="X194" s="36">
        <f t="shared" si="44"/>
        <v>0</v>
      </c>
      <c r="Z194" s="1"/>
      <c r="AA194" s="1"/>
      <c r="AB194" s="36">
        <f t="shared" si="39"/>
        <v>2314979597.1</v>
      </c>
      <c r="AC194" s="36">
        <v>2314979597.1</v>
      </c>
    </row>
    <row r="195" spans="1:29" ht="11.25" outlineLevel="1">
      <c r="A195" s="217"/>
      <c r="B195" s="49"/>
      <c r="C195" s="31" t="s">
        <v>246</v>
      </c>
      <c r="D195" s="5" t="s">
        <v>219</v>
      </c>
      <c r="E195" s="5">
        <v>1065</v>
      </c>
      <c r="F195" s="3" t="s">
        <v>247</v>
      </c>
      <c r="G195" s="113">
        <v>37033</v>
      </c>
      <c r="H195" s="49" t="s">
        <v>248</v>
      </c>
      <c r="I195" s="5" t="s">
        <v>168</v>
      </c>
      <c r="J195" s="36">
        <v>35159669.65</v>
      </c>
      <c r="K195" s="57">
        <v>156244649570.85</v>
      </c>
      <c r="L195" s="36"/>
      <c r="M195" s="36"/>
      <c r="N195" s="57">
        <v>781325.98</v>
      </c>
      <c r="O195" s="57">
        <v>3437101158.21</v>
      </c>
      <c r="P195" s="36"/>
      <c r="Q195" s="36"/>
      <c r="R195" s="36">
        <f t="shared" si="41"/>
        <v>781325.98</v>
      </c>
      <c r="S195" s="36">
        <f t="shared" si="41"/>
        <v>3437101158.21</v>
      </c>
      <c r="T195" s="36">
        <f t="shared" si="42"/>
        <v>34378343.67</v>
      </c>
      <c r="U195" s="36">
        <f t="shared" si="43"/>
        <v>152807548412.64</v>
      </c>
      <c r="V195" s="118">
        <v>4486.54</v>
      </c>
      <c r="W195" s="37">
        <f t="shared" si="45"/>
        <v>154239814009.2</v>
      </c>
      <c r="X195" s="36">
        <f t="shared" si="44"/>
        <v>0</v>
      </c>
      <c r="Z195" s="1"/>
      <c r="AA195" s="1"/>
      <c r="AB195" s="36">
        <f t="shared" si="39"/>
        <v>1432265596.56</v>
      </c>
      <c r="AC195" s="36">
        <v>1432265596.56</v>
      </c>
    </row>
    <row r="196" spans="1:29" ht="11.25" outlineLevel="1">
      <c r="A196" s="217"/>
      <c r="B196" s="49"/>
      <c r="C196" s="31" t="s">
        <v>249</v>
      </c>
      <c r="D196" s="5" t="s">
        <v>219</v>
      </c>
      <c r="E196" s="5">
        <v>1064</v>
      </c>
      <c r="F196" s="3" t="s">
        <v>250</v>
      </c>
      <c r="G196" s="113">
        <v>37064</v>
      </c>
      <c r="H196" s="49" t="s">
        <v>525</v>
      </c>
      <c r="I196" s="5" t="s">
        <v>168</v>
      </c>
      <c r="J196" s="36">
        <v>50695000.06</v>
      </c>
      <c r="K196" s="57">
        <v>225281482966.63</v>
      </c>
      <c r="L196" s="36"/>
      <c r="M196" s="36"/>
      <c r="N196" s="57">
        <v>1114174.42</v>
      </c>
      <c r="O196" s="57">
        <v>4901321930.17</v>
      </c>
      <c r="P196" s="36"/>
      <c r="Q196" s="36"/>
      <c r="R196" s="36">
        <f t="shared" si="41"/>
        <v>1114174.42</v>
      </c>
      <c r="S196" s="36">
        <f t="shared" si="41"/>
        <v>4901321930.17</v>
      </c>
      <c r="T196" s="36">
        <f t="shared" si="42"/>
        <v>49580825.64</v>
      </c>
      <c r="U196" s="36">
        <f t="shared" si="43"/>
        <v>220380161036.46</v>
      </c>
      <c r="V196" s="118">
        <v>4486.54</v>
      </c>
      <c r="W196" s="37">
        <f t="shared" si="45"/>
        <v>222446357466.89</v>
      </c>
      <c r="X196" s="36">
        <f t="shared" si="44"/>
        <v>0</v>
      </c>
      <c r="Z196" s="1"/>
      <c r="AA196" s="1"/>
      <c r="AB196" s="36">
        <f t="shared" si="39"/>
        <v>2066196430.43</v>
      </c>
      <c r="AC196" s="36">
        <v>2066196430.43</v>
      </c>
    </row>
    <row r="197" spans="1:29" ht="11.25" outlineLevel="1">
      <c r="A197" s="217"/>
      <c r="B197" s="49"/>
      <c r="C197" s="31" t="s">
        <v>251</v>
      </c>
      <c r="D197" s="5" t="s">
        <v>219</v>
      </c>
      <c r="E197" s="5">
        <v>1081</v>
      </c>
      <c r="F197" s="3" t="s">
        <v>252</v>
      </c>
      <c r="G197" s="113">
        <v>37169</v>
      </c>
      <c r="H197" s="49" t="s">
        <v>253</v>
      </c>
      <c r="I197" s="5" t="s">
        <v>168</v>
      </c>
      <c r="J197" s="36">
        <v>11834174.17</v>
      </c>
      <c r="K197" s="57">
        <v>52589413227.1</v>
      </c>
      <c r="L197" s="36"/>
      <c r="M197" s="36"/>
      <c r="N197" s="57">
        <v>257264.64</v>
      </c>
      <c r="O197" s="57">
        <v>1120686239.18</v>
      </c>
      <c r="P197" s="36"/>
      <c r="Q197" s="36"/>
      <c r="R197" s="36">
        <f t="shared" si="41"/>
        <v>257264.64</v>
      </c>
      <c r="S197" s="36">
        <f t="shared" si="41"/>
        <v>1120686239.18</v>
      </c>
      <c r="T197" s="36">
        <f t="shared" si="42"/>
        <v>11576909.53</v>
      </c>
      <c r="U197" s="36">
        <f t="shared" si="43"/>
        <v>51468726987.92</v>
      </c>
      <c r="V197" s="118">
        <v>4486.54</v>
      </c>
      <c r="W197" s="37">
        <f t="shared" si="45"/>
        <v>51940267682.73</v>
      </c>
      <c r="X197" s="36">
        <f t="shared" si="44"/>
        <v>0</v>
      </c>
      <c r="Z197" s="1"/>
      <c r="AA197" s="1"/>
      <c r="AB197" s="36">
        <f t="shared" si="39"/>
        <v>471540694.81</v>
      </c>
      <c r="AC197" s="36">
        <v>471540694.81</v>
      </c>
    </row>
    <row r="198" spans="1:29" ht="11.25" outlineLevel="1">
      <c r="A198" s="217"/>
      <c r="B198" s="49"/>
      <c r="C198" s="31" t="s">
        <v>254</v>
      </c>
      <c r="D198" s="5" t="s">
        <v>219</v>
      </c>
      <c r="E198" s="5">
        <v>1087</v>
      </c>
      <c r="F198" s="3" t="s">
        <v>255</v>
      </c>
      <c r="G198" s="113">
        <v>37239</v>
      </c>
      <c r="H198" s="49" t="s">
        <v>256</v>
      </c>
      <c r="I198" s="5" t="s">
        <v>168</v>
      </c>
      <c r="J198" s="36">
        <v>10385489.07</v>
      </c>
      <c r="K198" s="57">
        <v>46151659458.61</v>
      </c>
      <c r="L198" s="36"/>
      <c r="M198" s="36"/>
      <c r="N198" s="57">
        <v>225771.5</v>
      </c>
      <c r="O198" s="57">
        <v>1039075903.99</v>
      </c>
      <c r="P198" s="36"/>
      <c r="Q198" s="36"/>
      <c r="R198" s="36">
        <f t="shared" si="41"/>
        <v>225771.5</v>
      </c>
      <c r="S198" s="36">
        <f t="shared" si="41"/>
        <v>1039075903.99</v>
      </c>
      <c r="T198" s="36">
        <f t="shared" si="42"/>
        <v>10159717.57</v>
      </c>
      <c r="U198" s="36">
        <f t="shared" si="43"/>
        <v>45112583554.62</v>
      </c>
      <c r="V198" s="118">
        <v>4486.54</v>
      </c>
      <c r="W198" s="37">
        <f t="shared" si="45"/>
        <v>45581979266.51</v>
      </c>
      <c r="X198" s="36">
        <f t="shared" si="44"/>
        <v>0</v>
      </c>
      <c r="Z198" s="1"/>
      <c r="AA198" s="1"/>
      <c r="AB198" s="36">
        <f t="shared" si="39"/>
        <v>469395711.89</v>
      </c>
      <c r="AC198" s="36">
        <v>469395711.89</v>
      </c>
    </row>
    <row r="199" spans="1:29" ht="11.25" outlineLevel="1">
      <c r="A199" s="217"/>
      <c r="B199" s="49"/>
      <c r="C199" s="31" t="s">
        <v>257</v>
      </c>
      <c r="D199" s="5" t="s">
        <v>219</v>
      </c>
      <c r="E199" s="5">
        <v>1129</v>
      </c>
      <c r="F199" s="3" t="s">
        <v>258</v>
      </c>
      <c r="G199" s="113">
        <v>38189</v>
      </c>
      <c r="H199" s="49" t="s">
        <v>526</v>
      </c>
      <c r="I199" s="80" t="s">
        <v>168</v>
      </c>
      <c r="J199" s="36">
        <v>24794000</v>
      </c>
      <c r="K199" s="57">
        <v>110181064840</v>
      </c>
      <c r="L199" s="36"/>
      <c r="M199" s="36"/>
      <c r="N199" s="57">
        <v>506000</v>
      </c>
      <c r="O199" s="57">
        <v>2204217689.59</v>
      </c>
      <c r="P199" s="36"/>
      <c r="Q199" s="36"/>
      <c r="R199" s="36">
        <f t="shared" si="41"/>
        <v>506000</v>
      </c>
      <c r="S199" s="36">
        <f t="shared" si="41"/>
        <v>2204217689.59</v>
      </c>
      <c r="T199" s="36">
        <f t="shared" si="42"/>
        <v>24288000</v>
      </c>
      <c r="U199" s="36">
        <f t="shared" si="43"/>
        <v>107976847150.41</v>
      </c>
      <c r="V199" s="118">
        <v>4486.54</v>
      </c>
      <c r="W199" s="37">
        <f t="shared" si="45"/>
        <v>108969083520</v>
      </c>
      <c r="X199" s="36">
        <f t="shared" si="44"/>
        <v>0</v>
      </c>
      <c r="Z199" s="1"/>
      <c r="AA199" s="1"/>
      <c r="AB199" s="36">
        <f t="shared" si="39"/>
        <v>992236369.59</v>
      </c>
      <c r="AC199" s="36">
        <v>992236369.59</v>
      </c>
    </row>
    <row r="200" spans="1:29" ht="11.25" outlineLevel="1">
      <c r="A200" s="217"/>
      <c r="B200" s="49"/>
      <c r="C200" s="31" t="s">
        <v>259</v>
      </c>
      <c r="D200" s="5" t="s">
        <v>219</v>
      </c>
      <c r="E200" s="5">
        <v>1110</v>
      </c>
      <c r="F200" s="3" t="s">
        <v>260</v>
      </c>
      <c r="G200" s="113">
        <v>37795</v>
      </c>
      <c r="H200" s="49" t="s">
        <v>261</v>
      </c>
      <c r="I200" s="80" t="s">
        <v>168</v>
      </c>
      <c r="J200" s="36">
        <v>20799831.58</v>
      </c>
      <c r="K200" s="57">
        <v>92431539565.1</v>
      </c>
      <c r="L200" s="36"/>
      <c r="M200" s="36"/>
      <c r="N200" s="57">
        <v>437891.2</v>
      </c>
      <c r="O200" s="57">
        <v>1926310365.62</v>
      </c>
      <c r="P200" s="36"/>
      <c r="Q200" s="36"/>
      <c r="R200" s="36">
        <f t="shared" si="41"/>
        <v>437891.2</v>
      </c>
      <c r="S200" s="36">
        <f t="shared" si="41"/>
        <v>1926310365.62</v>
      </c>
      <c r="T200" s="36">
        <f t="shared" si="42"/>
        <v>20361940.38</v>
      </c>
      <c r="U200" s="36">
        <f t="shared" si="43"/>
        <v>90505229199.48</v>
      </c>
      <c r="V200" s="118">
        <v>4486.54</v>
      </c>
      <c r="W200" s="37">
        <f t="shared" si="45"/>
        <v>91354659992.49</v>
      </c>
      <c r="X200" s="36">
        <f t="shared" si="44"/>
        <v>0</v>
      </c>
      <c r="Z200" s="1"/>
      <c r="AA200" s="1"/>
      <c r="AB200" s="36">
        <f t="shared" si="39"/>
        <v>849430793.01</v>
      </c>
      <c r="AC200" s="36">
        <v>849430793.01</v>
      </c>
    </row>
    <row r="201" spans="1:29" ht="11.25" outlineLevel="1">
      <c r="A201" s="217"/>
      <c r="B201" s="49"/>
      <c r="C201" s="31" t="s">
        <v>262</v>
      </c>
      <c r="D201" s="5" t="s">
        <v>219</v>
      </c>
      <c r="E201" s="5">
        <v>1118</v>
      </c>
      <c r="F201" s="3" t="s">
        <v>263</v>
      </c>
      <c r="G201" s="113">
        <v>37956</v>
      </c>
      <c r="H201" s="49" t="s">
        <v>264</v>
      </c>
      <c r="I201" s="80" t="s">
        <v>168</v>
      </c>
      <c r="J201" s="36">
        <v>21006704.26</v>
      </c>
      <c r="K201" s="57">
        <v>93350852792.84</v>
      </c>
      <c r="L201" s="36"/>
      <c r="M201" s="36"/>
      <c r="N201" s="57">
        <v>437639.68</v>
      </c>
      <c r="O201" s="57">
        <v>1925203924.3</v>
      </c>
      <c r="P201" s="36"/>
      <c r="Q201" s="36"/>
      <c r="R201" s="36">
        <f t="shared" si="41"/>
        <v>437639.68</v>
      </c>
      <c r="S201" s="36">
        <f t="shared" si="41"/>
        <v>1925203924.3</v>
      </c>
      <c r="T201" s="36">
        <f t="shared" si="42"/>
        <v>20569064.58</v>
      </c>
      <c r="U201" s="36">
        <f t="shared" si="43"/>
        <v>91425648868.54</v>
      </c>
      <c r="V201" s="118">
        <v>4486.54</v>
      </c>
      <c r="W201" s="37">
        <f t="shared" si="45"/>
        <v>92283931000.75</v>
      </c>
      <c r="X201" s="36">
        <f t="shared" si="44"/>
        <v>0</v>
      </c>
      <c r="Z201" s="1"/>
      <c r="AA201" s="1"/>
      <c r="AB201" s="36">
        <f t="shared" si="39"/>
        <v>858282132.21</v>
      </c>
      <c r="AC201" s="36">
        <v>858282132.21</v>
      </c>
    </row>
    <row r="202" spans="1:29" ht="11.25" outlineLevel="1">
      <c r="A202" s="217"/>
      <c r="B202" s="49"/>
      <c r="C202" s="31" t="s">
        <v>265</v>
      </c>
      <c r="D202" s="5" t="s">
        <v>219</v>
      </c>
      <c r="E202" s="5">
        <v>1122</v>
      </c>
      <c r="F202" s="3" t="s">
        <v>266</v>
      </c>
      <c r="G202" s="113">
        <v>37966</v>
      </c>
      <c r="H202" s="49" t="s">
        <v>267</v>
      </c>
      <c r="I202" s="80" t="s">
        <v>168</v>
      </c>
      <c r="J202" s="36">
        <v>99365932.28</v>
      </c>
      <c r="K202" s="57">
        <v>441568291821.8</v>
      </c>
      <c r="L202" s="36"/>
      <c r="M202" s="36"/>
      <c r="N202" s="57">
        <v>2070123.58</v>
      </c>
      <c r="O202" s="57">
        <v>9335602664.82</v>
      </c>
      <c r="P202" s="36"/>
      <c r="Q202" s="36"/>
      <c r="R202" s="36">
        <f t="shared" si="41"/>
        <v>2070123.58</v>
      </c>
      <c r="S202" s="36">
        <f t="shared" si="41"/>
        <v>9335602664.82</v>
      </c>
      <c r="T202" s="36">
        <f t="shared" si="42"/>
        <v>97295808.7</v>
      </c>
      <c r="U202" s="36">
        <f t="shared" si="43"/>
        <v>432232689156.98</v>
      </c>
      <c r="V202" s="118">
        <v>4486.54</v>
      </c>
      <c r="W202" s="37">
        <f t="shared" si="45"/>
        <v>436521537564.9</v>
      </c>
      <c r="X202" s="36">
        <f t="shared" si="44"/>
        <v>0</v>
      </c>
      <c r="Z202" s="1"/>
      <c r="AA202" s="1"/>
      <c r="AB202" s="36">
        <f t="shared" si="39"/>
        <v>4288848407.92</v>
      </c>
      <c r="AC202" s="36">
        <v>4288848407.92</v>
      </c>
    </row>
    <row r="203" spans="1:29" ht="11.25" outlineLevel="1">
      <c r="A203" s="217"/>
      <c r="B203" s="49"/>
      <c r="C203" s="31" t="s">
        <v>268</v>
      </c>
      <c r="D203" s="5" t="s">
        <v>219</v>
      </c>
      <c r="E203" s="5">
        <v>1141</v>
      </c>
      <c r="F203" s="3" t="s">
        <v>269</v>
      </c>
      <c r="G203" s="113">
        <v>38546</v>
      </c>
      <c r="H203" s="49" t="s">
        <v>270</v>
      </c>
      <c r="I203" s="80" t="s">
        <v>168</v>
      </c>
      <c r="J203" s="36">
        <v>53361000</v>
      </c>
      <c r="K203" s="57">
        <v>237128813460</v>
      </c>
      <c r="L203" s="36"/>
      <c r="M203" s="36"/>
      <c r="N203" s="36">
        <v>1078000</v>
      </c>
      <c r="O203" s="36">
        <v>4693047959.15</v>
      </c>
      <c r="P203" s="36"/>
      <c r="Q203" s="36"/>
      <c r="R203" s="36">
        <f t="shared" si="41"/>
        <v>1078000</v>
      </c>
      <c r="S203" s="36">
        <f t="shared" si="41"/>
        <v>4693047959.15</v>
      </c>
      <c r="T203" s="36">
        <f t="shared" si="42"/>
        <v>52283000</v>
      </c>
      <c r="U203" s="36">
        <f t="shared" si="43"/>
        <v>232435765500.85</v>
      </c>
      <c r="V203" s="118">
        <v>4486.54</v>
      </c>
      <c r="W203" s="37">
        <f t="shared" si="45"/>
        <v>234569770820</v>
      </c>
      <c r="X203" s="36">
        <f t="shared" si="44"/>
        <v>0</v>
      </c>
      <c r="Z203" s="1"/>
      <c r="AA203" s="1"/>
      <c r="AB203" s="36">
        <f t="shared" si="39"/>
        <v>2134005319.15</v>
      </c>
      <c r="AC203" s="36">
        <v>2134005319.15</v>
      </c>
    </row>
    <row r="204" spans="1:29" ht="11.25" outlineLevel="1">
      <c r="A204" s="217"/>
      <c r="B204" s="49"/>
      <c r="C204" s="31" t="s">
        <v>271</v>
      </c>
      <c r="D204" s="5" t="s">
        <v>219</v>
      </c>
      <c r="E204" s="5">
        <v>1192</v>
      </c>
      <c r="F204" s="3" t="s">
        <v>272</v>
      </c>
      <c r="G204" s="113">
        <v>38915</v>
      </c>
      <c r="H204" s="49" t="s">
        <v>273</v>
      </c>
      <c r="I204" s="80" t="s">
        <v>168</v>
      </c>
      <c r="J204" s="36">
        <v>26900000</v>
      </c>
      <c r="K204" s="57">
        <v>119539834000</v>
      </c>
      <c r="L204" s="36"/>
      <c r="M204" s="36"/>
      <c r="N204" s="36">
        <v>269000</v>
      </c>
      <c r="O204" s="36">
        <v>1145367953.85</v>
      </c>
      <c r="P204" s="36"/>
      <c r="Q204" s="36"/>
      <c r="R204" s="36">
        <f t="shared" si="41"/>
        <v>269000</v>
      </c>
      <c r="S204" s="36">
        <f t="shared" si="41"/>
        <v>1145367953.85</v>
      </c>
      <c r="T204" s="36">
        <f t="shared" si="42"/>
        <v>26631000</v>
      </c>
      <c r="U204" s="36">
        <f t="shared" si="43"/>
        <v>118394466046.15</v>
      </c>
      <c r="V204" s="118">
        <v>4486.54</v>
      </c>
      <c r="W204" s="37">
        <f t="shared" si="45"/>
        <v>119481046740</v>
      </c>
      <c r="X204" s="36">
        <f t="shared" si="44"/>
        <v>0</v>
      </c>
      <c r="Z204" s="1"/>
      <c r="AA204" s="1"/>
      <c r="AB204" s="36">
        <f t="shared" si="39"/>
        <v>1086580693.85</v>
      </c>
      <c r="AC204" s="36">
        <v>1086580693.85</v>
      </c>
    </row>
    <row r="205" spans="1:29" ht="11.25" customHeight="1" outlineLevel="1">
      <c r="A205" s="217"/>
      <c r="B205" s="49"/>
      <c r="C205" s="31" t="s">
        <v>274</v>
      </c>
      <c r="D205" s="5" t="s">
        <v>219</v>
      </c>
      <c r="E205" s="5">
        <v>1193</v>
      </c>
      <c r="F205" s="3" t="s">
        <v>275</v>
      </c>
      <c r="G205" s="113">
        <v>38915</v>
      </c>
      <c r="H205" s="49" t="s">
        <v>276</v>
      </c>
      <c r="I205" s="80" t="s">
        <v>168</v>
      </c>
      <c r="J205" s="36">
        <v>5714579.21</v>
      </c>
      <c r="K205" s="57">
        <v>25394789968.15</v>
      </c>
      <c r="L205" s="36"/>
      <c r="M205" s="36"/>
      <c r="N205" s="36">
        <v>57145.79</v>
      </c>
      <c r="O205" s="36">
        <v>243319519.75</v>
      </c>
      <c r="P205" s="36"/>
      <c r="Q205" s="36"/>
      <c r="R205" s="36">
        <f t="shared" si="41"/>
        <v>57145.79</v>
      </c>
      <c r="S205" s="36">
        <f t="shared" si="41"/>
        <v>243319519.75</v>
      </c>
      <c r="T205" s="36">
        <f t="shared" si="42"/>
        <v>5657433.42</v>
      </c>
      <c r="U205" s="36">
        <f t="shared" si="43"/>
        <v>25151470448.4</v>
      </c>
      <c r="V205" s="118">
        <v>4486.54</v>
      </c>
      <c r="W205" s="37">
        <f t="shared" si="45"/>
        <v>25382301336.17</v>
      </c>
      <c r="X205" s="36">
        <f t="shared" si="44"/>
        <v>48697847.34</v>
      </c>
      <c r="Z205" s="1"/>
      <c r="AA205" s="1"/>
      <c r="AB205" s="36">
        <f t="shared" si="39"/>
        <v>182133040.43</v>
      </c>
      <c r="AC205" s="36">
        <v>182133040.43</v>
      </c>
    </row>
    <row r="206" spans="1:29" ht="11.25" outlineLevel="1">
      <c r="A206" s="217"/>
      <c r="B206" s="49"/>
      <c r="C206" s="31" t="s">
        <v>277</v>
      </c>
      <c r="D206" s="5" t="s">
        <v>219</v>
      </c>
      <c r="E206" s="5">
        <v>1200</v>
      </c>
      <c r="F206" s="3" t="s">
        <v>278</v>
      </c>
      <c r="G206" s="113">
        <v>39043</v>
      </c>
      <c r="H206" s="49" t="s">
        <v>279</v>
      </c>
      <c r="I206" s="80" t="s">
        <v>168</v>
      </c>
      <c r="J206" s="36">
        <v>6796045.13</v>
      </c>
      <c r="K206" s="57">
        <v>30200673111.4</v>
      </c>
      <c r="L206" s="36"/>
      <c r="M206" s="36"/>
      <c r="N206" s="36"/>
      <c r="O206" s="36"/>
      <c r="P206" s="36"/>
      <c r="Q206" s="36"/>
      <c r="R206" s="36">
        <f t="shared" si="41"/>
        <v>0</v>
      </c>
      <c r="S206" s="36">
        <f t="shared" si="41"/>
        <v>0</v>
      </c>
      <c r="T206" s="36">
        <f t="shared" si="42"/>
        <v>6796045.13</v>
      </c>
      <c r="U206" s="36">
        <f t="shared" si="43"/>
        <v>30200673111.4</v>
      </c>
      <c r="V206" s="118">
        <v>4486.54</v>
      </c>
      <c r="W206" s="37">
        <f t="shared" si="45"/>
        <v>30490728317.55</v>
      </c>
      <c r="X206" s="36">
        <f t="shared" si="44"/>
        <v>0</v>
      </c>
      <c r="Z206" s="1"/>
      <c r="AA206" s="1"/>
      <c r="AB206" s="36">
        <f t="shared" si="39"/>
        <v>290055206.15</v>
      </c>
      <c r="AC206" s="36">
        <v>290055206.15</v>
      </c>
    </row>
    <row r="207" spans="1:28" ht="11.25" outlineLevel="1">
      <c r="A207" s="217"/>
      <c r="B207" s="49"/>
      <c r="C207" s="31" t="s">
        <v>280</v>
      </c>
      <c r="D207" s="5" t="s">
        <v>219</v>
      </c>
      <c r="E207" s="5">
        <v>1201</v>
      </c>
      <c r="F207" s="3" t="s">
        <v>281</v>
      </c>
      <c r="G207" s="113">
        <v>39043</v>
      </c>
      <c r="H207" s="49" t="s">
        <v>282</v>
      </c>
      <c r="I207" s="80" t="s">
        <v>168</v>
      </c>
      <c r="J207" s="36">
        <v>19611281.31</v>
      </c>
      <c r="K207" s="57">
        <v>87149788562.26</v>
      </c>
      <c r="L207" s="36"/>
      <c r="M207" s="36"/>
      <c r="N207" s="36"/>
      <c r="O207" s="36"/>
      <c r="P207" s="36"/>
      <c r="Q207" s="36"/>
      <c r="R207" s="36">
        <f t="shared" si="41"/>
        <v>0</v>
      </c>
      <c r="S207" s="36">
        <f t="shared" si="41"/>
        <v>0</v>
      </c>
      <c r="T207" s="36">
        <f t="shared" si="42"/>
        <v>19611281.31</v>
      </c>
      <c r="U207" s="36">
        <f t="shared" si="43"/>
        <v>87149788562.26</v>
      </c>
      <c r="V207" s="118">
        <v>4486.54</v>
      </c>
      <c r="W207" s="37">
        <f t="shared" si="45"/>
        <v>87986798048.57</v>
      </c>
      <c r="X207" s="36">
        <f t="shared" si="44"/>
        <v>837009486.31</v>
      </c>
      <c r="Z207" s="1"/>
      <c r="AA207" s="1"/>
      <c r="AB207" s="36">
        <f t="shared" si="39"/>
        <v>0</v>
      </c>
    </row>
    <row r="208" spans="1:29" ht="11.25" outlineLevel="1">
      <c r="A208" s="217"/>
      <c r="B208" s="49"/>
      <c r="C208" s="31" t="s">
        <v>283</v>
      </c>
      <c r="D208" s="5" t="s">
        <v>219</v>
      </c>
      <c r="E208" s="5">
        <v>1139</v>
      </c>
      <c r="F208" s="3" t="s">
        <v>284</v>
      </c>
      <c r="G208" s="113">
        <v>38546</v>
      </c>
      <c r="H208" s="49" t="s">
        <v>285</v>
      </c>
      <c r="I208" s="80" t="s">
        <v>168</v>
      </c>
      <c r="J208" s="36">
        <v>81738926.01</v>
      </c>
      <c r="K208" s="57">
        <v>363236343738.8</v>
      </c>
      <c r="L208" s="36"/>
      <c r="M208" s="36"/>
      <c r="N208" s="36">
        <v>1651291.44</v>
      </c>
      <c r="O208" s="36">
        <v>7193292002.63</v>
      </c>
      <c r="P208" s="36"/>
      <c r="Q208" s="36"/>
      <c r="R208" s="36">
        <f t="shared" si="41"/>
        <v>1651291.44</v>
      </c>
      <c r="S208" s="36">
        <f t="shared" si="41"/>
        <v>7193292002.63</v>
      </c>
      <c r="T208" s="36">
        <f t="shared" si="42"/>
        <v>80087634.57</v>
      </c>
      <c r="U208" s="36">
        <f t="shared" si="43"/>
        <v>356043051736.17</v>
      </c>
      <c r="V208" s="118">
        <v>4486.54</v>
      </c>
      <c r="W208" s="37">
        <f t="shared" si="45"/>
        <v>359316376003.69</v>
      </c>
      <c r="X208" s="36">
        <f t="shared" si="44"/>
        <v>0</v>
      </c>
      <c r="Z208" s="142"/>
      <c r="AA208" s="142"/>
      <c r="AB208" s="36">
        <f t="shared" si="39"/>
        <v>3273324267.52</v>
      </c>
      <c r="AC208" s="36">
        <v>3273324267.52</v>
      </c>
    </row>
    <row r="209" spans="1:29" ht="11.25" outlineLevel="1">
      <c r="A209" s="217"/>
      <c r="B209" s="49"/>
      <c r="C209" s="31" t="s">
        <v>286</v>
      </c>
      <c r="D209" s="5" t="s">
        <v>219</v>
      </c>
      <c r="E209" s="5">
        <v>1198</v>
      </c>
      <c r="F209" s="3" t="s">
        <v>287</v>
      </c>
      <c r="G209" s="113">
        <v>38966</v>
      </c>
      <c r="H209" s="49" t="s">
        <v>288</v>
      </c>
      <c r="I209" s="80" t="s">
        <v>168</v>
      </c>
      <c r="J209" s="36">
        <v>12185932.77</v>
      </c>
      <c r="K209" s="57">
        <v>54152579199.29</v>
      </c>
      <c r="L209" s="36"/>
      <c r="M209" s="36"/>
      <c r="N209" s="36">
        <v>121859.33</v>
      </c>
      <c r="O209" s="36">
        <v>518861572.5</v>
      </c>
      <c r="P209" s="36"/>
      <c r="Q209" s="36"/>
      <c r="R209" s="36">
        <f t="shared" si="41"/>
        <v>121859.33</v>
      </c>
      <c r="S209" s="36">
        <f t="shared" si="41"/>
        <v>518861572.5</v>
      </c>
      <c r="T209" s="36">
        <f t="shared" si="42"/>
        <v>12064073.44</v>
      </c>
      <c r="U209" s="36">
        <f t="shared" si="43"/>
        <v>53633717626.79</v>
      </c>
      <c r="V209" s="118">
        <v>4486.54</v>
      </c>
      <c r="W209" s="37">
        <f t="shared" si="45"/>
        <v>54125948051.5</v>
      </c>
      <c r="X209" s="36">
        <f t="shared" si="44"/>
        <v>0</v>
      </c>
      <c r="Z209" s="1"/>
      <c r="AA209" s="1"/>
      <c r="AB209" s="36">
        <f t="shared" si="39"/>
        <v>492230424.71</v>
      </c>
      <c r="AC209" s="36">
        <v>492230424.71</v>
      </c>
    </row>
    <row r="210" spans="1:29" ht="11.25" outlineLevel="1">
      <c r="A210" s="217"/>
      <c r="B210" s="49"/>
      <c r="C210" s="31" t="s">
        <v>289</v>
      </c>
      <c r="D210" s="5" t="s">
        <v>219</v>
      </c>
      <c r="E210" s="5">
        <v>1140</v>
      </c>
      <c r="F210" s="3" t="s">
        <v>290</v>
      </c>
      <c r="G210" s="113">
        <v>38546</v>
      </c>
      <c r="H210" s="49" t="s">
        <v>291</v>
      </c>
      <c r="I210" s="80" t="s">
        <v>168</v>
      </c>
      <c r="J210" s="36">
        <v>19399438.5</v>
      </c>
      <c r="K210" s="57">
        <v>86208388772.61</v>
      </c>
      <c r="L210" s="36"/>
      <c r="M210" s="36"/>
      <c r="N210" s="36">
        <v>391907.84</v>
      </c>
      <c r="O210" s="36">
        <v>1805635431.68</v>
      </c>
      <c r="P210" s="36"/>
      <c r="Q210" s="36"/>
      <c r="R210" s="36">
        <f t="shared" si="41"/>
        <v>391907.84</v>
      </c>
      <c r="S210" s="36">
        <f t="shared" si="41"/>
        <v>1805635431.68</v>
      </c>
      <c r="T210" s="36">
        <f t="shared" si="42"/>
        <v>19007530.66</v>
      </c>
      <c r="U210" s="36">
        <f t="shared" si="43"/>
        <v>84402753340.93</v>
      </c>
      <c r="V210" s="118">
        <v>4486.54</v>
      </c>
      <c r="W210" s="37">
        <f t="shared" si="45"/>
        <v>85278046607.32</v>
      </c>
      <c r="X210" s="36">
        <f t="shared" si="44"/>
        <v>0</v>
      </c>
      <c r="Z210" s="1"/>
      <c r="AA210" s="1"/>
      <c r="AB210" s="36">
        <f t="shared" si="39"/>
        <v>875293266.39</v>
      </c>
      <c r="AC210" s="36">
        <v>875293266.39</v>
      </c>
    </row>
    <row r="211" spans="1:29" ht="11.25" outlineLevel="1">
      <c r="A211" s="217"/>
      <c r="B211" s="49"/>
      <c r="C211" s="31" t="s">
        <v>292</v>
      </c>
      <c r="D211" s="5" t="s">
        <v>219</v>
      </c>
      <c r="E211" s="5">
        <v>1138</v>
      </c>
      <c r="F211" s="3" t="s">
        <v>293</v>
      </c>
      <c r="G211" s="113">
        <v>38546</v>
      </c>
      <c r="H211" s="49" t="s">
        <v>294</v>
      </c>
      <c r="I211" s="80" t="s">
        <v>168</v>
      </c>
      <c r="J211" s="36">
        <v>12173814.56</v>
      </c>
      <c r="K211" s="57">
        <v>54098727570.6</v>
      </c>
      <c r="L211" s="36"/>
      <c r="M211" s="36"/>
      <c r="N211" s="36">
        <v>245935.64</v>
      </c>
      <c r="O211" s="36">
        <v>1091825864.94</v>
      </c>
      <c r="P211" s="36"/>
      <c r="Q211" s="36"/>
      <c r="R211" s="36">
        <f t="shared" si="41"/>
        <v>245935.64</v>
      </c>
      <c r="S211" s="36">
        <f t="shared" si="41"/>
        <v>1091825864.94</v>
      </c>
      <c r="T211" s="36">
        <f t="shared" si="42"/>
        <v>11927878.92</v>
      </c>
      <c r="U211" s="36">
        <f t="shared" si="43"/>
        <v>53006901705.66</v>
      </c>
      <c r="V211" s="118">
        <v>4486.54</v>
      </c>
      <c r="W211" s="37">
        <f t="shared" si="45"/>
        <v>53514905889.74</v>
      </c>
      <c r="X211" s="36">
        <f t="shared" si="44"/>
        <v>0</v>
      </c>
      <c r="Z211" s="1"/>
      <c r="AA211" s="1"/>
      <c r="AB211" s="36">
        <f t="shared" si="39"/>
        <v>508004184.08</v>
      </c>
      <c r="AC211" s="36">
        <v>508004184.08</v>
      </c>
    </row>
    <row r="212" spans="1:29" ht="11.25" outlineLevel="1">
      <c r="A212" s="217"/>
      <c r="B212" s="49"/>
      <c r="C212" s="31" t="s">
        <v>295</v>
      </c>
      <c r="D212" s="5" t="s">
        <v>219</v>
      </c>
      <c r="E212" s="5">
        <v>1205</v>
      </c>
      <c r="F212" s="3" t="s">
        <v>296</v>
      </c>
      <c r="G212" s="113">
        <v>39238</v>
      </c>
      <c r="H212" s="49" t="s">
        <v>297</v>
      </c>
      <c r="I212" s="80" t="s">
        <v>168</v>
      </c>
      <c r="J212" s="36">
        <v>10094304.34</v>
      </c>
      <c r="K212" s="57">
        <v>44857675284.35</v>
      </c>
      <c r="L212" s="36"/>
      <c r="M212" s="36"/>
      <c r="N212" s="36"/>
      <c r="O212" s="36"/>
      <c r="P212" s="36"/>
      <c r="Q212" s="36"/>
      <c r="R212" s="36">
        <f t="shared" si="41"/>
        <v>0</v>
      </c>
      <c r="S212" s="36">
        <f t="shared" si="41"/>
        <v>0</v>
      </c>
      <c r="T212" s="36">
        <f t="shared" si="42"/>
        <v>10094304.34</v>
      </c>
      <c r="U212" s="36">
        <f t="shared" si="43"/>
        <v>44857675284.35</v>
      </c>
      <c r="V212" s="118">
        <v>4486.54</v>
      </c>
      <c r="W212" s="37">
        <f t="shared" si="45"/>
        <v>45288500193.58</v>
      </c>
      <c r="X212" s="36">
        <f t="shared" si="44"/>
        <v>430824909.23</v>
      </c>
      <c r="Z212" s="1"/>
      <c r="AA212" s="1"/>
      <c r="AB212" s="36">
        <f t="shared" si="39"/>
        <v>0</v>
      </c>
      <c r="AC212" s="142"/>
    </row>
    <row r="213" spans="1:29" ht="11.25" outlineLevel="1">
      <c r="A213" s="217"/>
      <c r="B213" s="49"/>
      <c r="C213" s="31" t="s">
        <v>298</v>
      </c>
      <c r="D213" s="5" t="s">
        <v>219</v>
      </c>
      <c r="E213" s="5">
        <v>1206</v>
      </c>
      <c r="F213" s="3" t="s">
        <v>299</v>
      </c>
      <c r="G213" s="113">
        <v>39238</v>
      </c>
      <c r="H213" s="49" t="s">
        <v>300</v>
      </c>
      <c r="I213" s="5" t="s">
        <v>168</v>
      </c>
      <c r="J213" s="36">
        <v>10398205.22</v>
      </c>
      <c r="K213" s="57">
        <v>46208168248.95</v>
      </c>
      <c r="L213" s="36"/>
      <c r="M213" s="36"/>
      <c r="N213" s="36"/>
      <c r="O213" s="36"/>
      <c r="P213" s="36"/>
      <c r="Q213" s="36"/>
      <c r="R213" s="36">
        <f t="shared" si="41"/>
        <v>0</v>
      </c>
      <c r="S213" s="36">
        <f t="shared" si="41"/>
        <v>0</v>
      </c>
      <c r="T213" s="36">
        <f t="shared" si="42"/>
        <v>10398205.22</v>
      </c>
      <c r="U213" s="36">
        <f t="shared" si="43"/>
        <v>46208168248.95</v>
      </c>
      <c r="V213" s="118">
        <v>4486.54</v>
      </c>
      <c r="W213" s="37">
        <f>T213*V213</f>
        <v>46651963647.74</v>
      </c>
      <c r="X213" s="36">
        <f t="shared" si="44"/>
        <v>0</v>
      </c>
      <c r="Z213" s="1"/>
      <c r="AA213" s="1"/>
      <c r="AB213" s="36">
        <f t="shared" si="39"/>
        <v>443795398.79</v>
      </c>
      <c r="AC213" s="36">
        <v>443795398.79</v>
      </c>
    </row>
    <row r="214" spans="1:29" ht="11.25" outlineLevel="1">
      <c r="A214" s="217"/>
      <c r="B214" s="49"/>
      <c r="C214" s="31" t="s">
        <v>301</v>
      </c>
      <c r="D214" s="5" t="s">
        <v>219</v>
      </c>
      <c r="E214" s="5">
        <v>1207</v>
      </c>
      <c r="F214" s="3" t="s">
        <v>302</v>
      </c>
      <c r="G214" s="113">
        <v>39238</v>
      </c>
      <c r="H214" s="49" t="s">
        <v>303</v>
      </c>
      <c r="I214" s="80" t="s">
        <v>168</v>
      </c>
      <c r="J214" s="36">
        <v>3362867.01</v>
      </c>
      <c r="K214" s="57">
        <v>14944110191.06</v>
      </c>
      <c r="L214" s="36"/>
      <c r="M214" s="36"/>
      <c r="N214" s="36"/>
      <c r="O214" s="36"/>
      <c r="P214" s="36"/>
      <c r="Q214" s="36"/>
      <c r="R214" s="36">
        <f t="shared" si="41"/>
        <v>0</v>
      </c>
      <c r="S214" s="36">
        <f t="shared" si="41"/>
        <v>0</v>
      </c>
      <c r="T214" s="36">
        <f t="shared" si="42"/>
        <v>3362867.01</v>
      </c>
      <c r="U214" s="36">
        <f t="shared" si="43"/>
        <v>14944110191.06</v>
      </c>
      <c r="V214" s="118">
        <v>4486.54</v>
      </c>
      <c r="W214" s="37">
        <f t="shared" si="45"/>
        <v>15087637355.05</v>
      </c>
      <c r="X214" s="36">
        <f t="shared" si="44"/>
        <v>0</v>
      </c>
      <c r="Z214" s="1"/>
      <c r="AA214" s="1"/>
      <c r="AB214" s="36">
        <f t="shared" si="39"/>
        <v>143527163.99</v>
      </c>
      <c r="AC214" s="36">
        <v>143527163.99</v>
      </c>
    </row>
    <row r="215" spans="1:29" ht="11.25" outlineLevel="1">
      <c r="A215" s="217"/>
      <c r="B215" s="49"/>
      <c r="C215" s="31" t="s">
        <v>304</v>
      </c>
      <c r="D215" s="5" t="s">
        <v>219</v>
      </c>
      <c r="E215" s="5">
        <v>1208</v>
      </c>
      <c r="F215" s="3" t="s">
        <v>305</v>
      </c>
      <c r="G215" s="113">
        <v>39238</v>
      </c>
      <c r="H215" s="49" t="s">
        <v>306</v>
      </c>
      <c r="I215" s="80" t="s">
        <v>168</v>
      </c>
      <c r="J215" s="36">
        <v>6412567.93</v>
      </c>
      <c r="K215" s="57">
        <v>28496554121.41</v>
      </c>
      <c r="L215" s="36"/>
      <c r="M215" s="36"/>
      <c r="N215" s="36"/>
      <c r="O215" s="36"/>
      <c r="P215" s="36"/>
      <c r="Q215" s="36"/>
      <c r="R215" s="36">
        <f t="shared" si="41"/>
        <v>0</v>
      </c>
      <c r="S215" s="36">
        <f t="shared" si="41"/>
        <v>0</v>
      </c>
      <c r="T215" s="36">
        <f t="shared" si="42"/>
        <v>6412567.93</v>
      </c>
      <c r="U215" s="36">
        <f t="shared" si="43"/>
        <v>28496554121.41</v>
      </c>
      <c r="V215" s="118">
        <v>4486.54</v>
      </c>
      <c r="W215" s="37">
        <f t="shared" si="45"/>
        <v>28770242520.66</v>
      </c>
      <c r="X215" s="36">
        <f t="shared" si="44"/>
        <v>0</v>
      </c>
      <c r="Z215" s="1"/>
      <c r="AA215" s="1"/>
      <c r="AB215" s="36">
        <f t="shared" si="39"/>
        <v>273688399.25</v>
      </c>
      <c r="AC215" s="36">
        <v>273688399.25</v>
      </c>
    </row>
    <row r="216" spans="1:29" ht="11.25" outlineLevel="1">
      <c r="A216" s="217"/>
      <c r="B216" s="49"/>
      <c r="C216" s="31" t="s">
        <v>307</v>
      </c>
      <c r="D216" s="5" t="s">
        <v>219</v>
      </c>
      <c r="E216" s="5">
        <v>1209</v>
      </c>
      <c r="F216" s="3" t="s">
        <v>308</v>
      </c>
      <c r="G216" s="113">
        <v>39224</v>
      </c>
      <c r="H216" s="49" t="s">
        <v>309</v>
      </c>
      <c r="I216" s="80" t="s">
        <v>168</v>
      </c>
      <c r="J216" s="36">
        <v>2916892.09</v>
      </c>
      <c r="K216" s="57">
        <v>12962260083.07</v>
      </c>
      <c r="L216" s="36"/>
      <c r="M216" s="36"/>
      <c r="N216" s="36"/>
      <c r="O216" s="36"/>
      <c r="P216" s="36"/>
      <c r="Q216" s="36"/>
      <c r="R216" s="36">
        <f t="shared" si="41"/>
        <v>0</v>
      </c>
      <c r="S216" s="36">
        <f t="shared" si="41"/>
        <v>0</v>
      </c>
      <c r="T216" s="36">
        <f t="shared" si="42"/>
        <v>2916892.09</v>
      </c>
      <c r="U216" s="36">
        <f t="shared" si="43"/>
        <v>12962260083.07</v>
      </c>
      <c r="V216" s="118">
        <v>4486.54</v>
      </c>
      <c r="W216" s="37">
        <f t="shared" si="45"/>
        <v>13086753037.47</v>
      </c>
      <c r="X216" s="36">
        <f t="shared" si="44"/>
        <v>0</v>
      </c>
      <c r="Z216" s="1"/>
      <c r="AA216" s="1"/>
      <c r="AB216" s="36">
        <f t="shared" si="39"/>
        <v>124492954.4</v>
      </c>
      <c r="AC216" s="36">
        <v>124492954.4</v>
      </c>
    </row>
    <row r="217" spans="1:29" ht="11.25" outlineLevel="1">
      <c r="A217" s="217"/>
      <c r="B217" s="49"/>
      <c r="C217" s="31" t="s">
        <v>310</v>
      </c>
      <c r="D217" s="5" t="s">
        <v>219</v>
      </c>
      <c r="E217" s="5">
        <v>1210</v>
      </c>
      <c r="F217" s="3" t="s">
        <v>311</v>
      </c>
      <c r="G217" s="113">
        <v>39238</v>
      </c>
      <c r="H217" s="49" t="s">
        <v>312</v>
      </c>
      <c r="I217" s="80" t="s">
        <v>168</v>
      </c>
      <c r="J217" s="36">
        <v>5130962.5</v>
      </c>
      <c r="K217" s="57">
        <v>22801279015.25</v>
      </c>
      <c r="L217" s="36"/>
      <c r="M217" s="36"/>
      <c r="N217" s="36"/>
      <c r="O217" s="36"/>
      <c r="P217" s="36"/>
      <c r="Q217" s="36"/>
      <c r="R217" s="36">
        <f t="shared" si="41"/>
        <v>0</v>
      </c>
      <c r="S217" s="36">
        <f t="shared" si="41"/>
        <v>0</v>
      </c>
      <c r="T217" s="36">
        <f t="shared" si="42"/>
        <v>5130962.5</v>
      </c>
      <c r="U217" s="36">
        <f t="shared" si="43"/>
        <v>22801279015.25</v>
      </c>
      <c r="V217" s="118">
        <v>4486.54</v>
      </c>
      <c r="W217" s="37">
        <f t="shared" si="45"/>
        <v>23020268494.75</v>
      </c>
      <c r="X217" s="36">
        <f t="shared" si="44"/>
        <v>0</v>
      </c>
      <c r="Z217" s="1"/>
      <c r="AA217" s="1"/>
      <c r="AB217" s="36">
        <f t="shared" si="39"/>
        <v>218989479.5</v>
      </c>
      <c r="AC217" s="36">
        <v>218989479.5</v>
      </c>
    </row>
    <row r="218" spans="1:29" ht="11.25" outlineLevel="1">
      <c r="A218" s="217"/>
      <c r="B218" s="49"/>
      <c r="C218" s="31" t="s">
        <v>313</v>
      </c>
      <c r="D218" s="5" t="s">
        <v>219</v>
      </c>
      <c r="E218" s="5">
        <v>1213</v>
      </c>
      <c r="F218" s="3" t="s">
        <v>314</v>
      </c>
      <c r="G218" s="113">
        <v>39308</v>
      </c>
      <c r="H218" s="49" t="s">
        <v>315</v>
      </c>
      <c r="I218" s="80" t="s">
        <v>168</v>
      </c>
      <c r="J218" s="36">
        <v>26300000</v>
      </c>
      <c r="K218" s="57">
        <v>116873518000</v>
      </c>
      <c r="L218" s="36"/>
      <c r="M218" s="36"/>
      <c r="N218" s="36"/>
      <c r="O218" s="36"/>
      <c r="P218" s="36"/>
      <c r="Q218" s="36"/>
      <c r="R218" s="36">
        <f t="shared" si="41"/>
        <v>0</v>
      </c>
      <c r="S218" s="36">
        <f t="shared" si="41"/>
        <v>0</v>
      </c>
      <c r="T218" s="36">
        <f t="shared" si="42"/>
        <v>26300000</v>
      </c>
      <c r="U218" s="36">
        <f t="shared" si="43"/>
        <v>116873518000</v>
      </c>
      <c r="V218" s="118">
        <v>4486.54</v>
      </c>
      <c r="W218" s="37">
        <f t="shared" si="45"/>
        <v>117996002000</v>
      </c>
      <c r="X218" s="36">
        <f t="shared" si="44"/>
        <v>0</v>
      </c>
      <c r="Z218" s="1"/>
      <c r="AA218" s="1"/>
      <c r="AB218" s="36">
        <f t="shared" si="39"/>
        <v>1122484000</v>
      </c>
      <c r="AC218" s="36">
        <v>1122484000</v>
      </c>
    </row>
    <row r="219" spans="1:29" ht="11.25" outlineLevel="1">
      <c r="A219" s="217"/>
      <c r="B219" s="49"/>
      <c r="C219" s="31" t="s">
        <v>316</v>
      </c>
      <c r="D219" s="5" t="s">
        <v>219</v>
      </c>
      <c r="E219" s="5">
        <v>1229</v>
      </c>
      <c r="F219" s="3" t="s">
        <v>317</v>
      </c>
      <c r="G219" s="113">
        <v>39638</v>
      </c>
      <c r="H219" s="49" t="s">
        <v>318</v>
      </c>
      <c r="I219" s="80" t="s">
        <v>168</v>
      </c>
      <c r="J219" s="36">
        <v>30700000</v>
      </c>
      <c r="K219" s="57">
        <v>136426502000</v>
      </c>
      <c r="L219" s="36"/>
      <c r="M219" s="36"/>
      <c r="N219" s="36"/>
      <c r="O219" s="36"/>
      <c r="P219" s="36"/>
      <c r="Q219" s="36"/>
      <c r="R219" s="36">
        <f t="shared" si="41"/>
        <v>0</v>
      </c>
      <c r="S219" s="36">
        <f t="shared" si="41"/>
        <v>0</v>
      </c>
      <c r="T219" s="36">
        <f t="shared" si="42"/>
        <v>30700000</v>
      </c>
      <c r="U219" s="36">
        <f t="shared" si="43"/>
        <v>136426502000</v>
      </c>
      <c r="V219" s="118">
        <v>4486.54</v>
      </c>
      <c r="W219" s="37">
        <f t="shared" si="45"/>
        <v>137736778000</v>
      </c>
      <c r="X219" s="36">
        <f t="shared" si="44"/>
        <v>0</v>
      </c>
      <c r="Z219" s="1"/>
      <c r="AA219" s="1"/>
      <c r="AB219" s="36">
        <f t="shared" si="39"/>
        <v>1310276000</v>
      </c>
      <c r="AC219" s="36">
        <v>1310276000</v>
      </c>
    </row>
    <row r="220" spans="1:28" ht="11.25" outlineLevel="1">
      <c r="A220" s="217"/>
      <c r="B220" s="49"/>
      <c r="C220" s="31" t="s">
        <v>319</v>
      </c>
      <c r="D220" s="5" t="s">
        <v>219</v>
      </c>
      <c r="E220" s="5">
        <v>1225</v>
      </c>
      <c r="F220" s="3" t="s">
        <v>200</v>
      </c>
      <c r="G220" s="113">
        <v>39576</v>
      </c>
      <c r="H220" s="49" t="s">
        <v>527</v>
      </c>
      <c r="I220" s="80" t="s">
        <v>168</v>
      </c>
      <c r="J220" s="36">
        <v>24740446.89</v>
      </c>
      <c r="K220" s="57">
        <v>109943082316.6</v>
      </c>
      <c r="L220" s="36"/>
      <c r="M220" s="36"/>
      <c r="N220" s="36"/>
      <c r="O220" s="36"/>
      <c r="P220" s="36"/>
      <c r="Q220" s="36"/>
      <c r="R220" s="36">
        <f t="shared" si="41"/>
        <v>0</v>
      </c>
      <c r="S220" s="36">
        <f t="shared" si="41"/>
        <v>0</v>
      </c>
      <c r="T220" s="36">
        <f t="shared" si="42"/>
        <v>24740446.89</v>
      </c>
      <c r="U220" s="36">
        <f t="shared" si="43"/>
        <v>109943082316.6</v>
      </c>
      <c r="V220" s="118">
        <v>4486.54</v>
      </c>
      <c r="W220" s="37">
        <f t="shared" si="45"/>
        <v>110999004589.86</v>
      </c>
      <c r="X220" s="36">
        <f t="shared" si="44"/>
        <v>1055922273.26</v>
      </c>
      <c r="Z220" s="1"/>
      <c r="AA220" s="1"/>
      <c r="AB220" s="36">
        <f t="shared" si="39"/>
        <v>0</v>
      </c>
    </row>
    <row r="221" spans="1:28" ht="11.25" outlineLevel="1">
      <c r="A221" s="217"/>
      <c r="B221" s="49"/>
      <c r="C221" s="31" t="s">
        <v>320</v>
      </c>
      <c r="D221" s="5" t="s">
        <v>219</v>
      </c>
      <c r="E221" s="5">
        <v>1230</v>
      </c>
      <c r="F221" s="3" t="s">
        <v>321</v>
      </c>
      <c r="G221" s="113">
        <v>39644</v>
      </c>
      <c r="H221" s="49" t="s">
        <v>528</v>
      </c>
      <c r="I221" s="80" t="s">
        <v>168</v>
      </c>
      <c r="J221" s="36">
        <v>16527650.79</v>
      </c>
      <c r="K221" s="57">
        <v>73446566239.65</v>
      </c>
      <c r="L221" s="36"/>
      <c r="M221" s="36"/>
      <c r="N221" s="36"/>
      <c r="O221" s="36"/>
      <c r="P221" s="36"/>
      <c r="Q221" s="36"/>
      <c r="R221" s="36">
        <f t="shared" si="41"/>
        <v>0</v>
      </c>
      <c r="S221" s="36">
        <f t="shared" si="41"/>
        <v>0</v>
      </c>
      <c r="T221" s="36">
        <f t="shared" si="42"/>
        <v>16527650.79</v>
      </c>
      <c r="U221" s="36">
        <f t="shared" si="43"/>
        <v>73446566239.65</v>
      </c>
      <c r="V221" s="118">
        <v>4486.54</v>
      </c>
      <c r="W221" s="37">
        <f t="shared" si="45"/>
        <v>74151966375.37</v>
      </c>
      <c r="X221" s="36">
        <f t="shared" si="44"/>
        <v>705400135.72</v>
      </c>
      <c r="Z221" s="1"/>
      <c r="AA221" s="1"/>
      <c r="AB221" s="36">
        <f t="shared" si="39"/>
        <v>0</v>
      </c>
    </row>
    <row r="222" spans="1:29" ht="11.25" outlineLevel="1">
      <c r="A222" s="217"/>
      <c r="B222" s="49"/>
      <c r="C222" s="31" t="s">
        <v>322</v>
      </c>
      <c r="D222" s="5" t="s">
        <v>219</v>
      </c>
      <c r="E222" s="5">
        <v>1257</v>
      </c>
      <c r="F222" s="3" t="s">
        <v>323</v>
      </c>
      <c r="G222" s="113">
        <v>39832</v>
      </c>
      <c r="H222" s="49" t="s">
        <v>324</v>
      </c>
      <c r="I222" s="80" t="s">
        <v>168</v>
      </c>
      <c r="J222" s="36">
        <v>26900000</v>
      </c>
      <c r="K222" s="57">
        <v>119539834000</v>
      </c>
      <c r="L222" s="36"/>
      <c r="M222" s="36"/>
      <c r="N222" s="36"/>
      <c r="O222" s="36"/>
      <c r="P222" s="36"/>
      <c r="Q222" s="36"/>
      <c r="R222" s="36">
        <f t="shared" si="41"/>
        <v>0</v>
      </c>
      <c r="S222" s="36">
        <f t="shared" si="41"/>
        <v>0</v>
      </c>
      <c r="T222" s="36">
        <f t="shared" si="42"/>
        <v>26900000</v>
      </c>
      <c r="U222" s="36">
        <f t="shared" si="43"/>
        <v>119539834000</v>
      </c>
      <c r="V222" s="118">
        <v>4486.54</v>
      </c>
      <c r="W222" s="37">
        <f t="shared" si="45"/>
        <v>120687926000</v>
      </c>
      <c r="X222" s="36">
        <f t="shared" si="44"/>
        <v>0</v>
      </c>
      <c r="Z222" s="1"/>
      <c r="AA222" s="1"/>
      <c r="AB222" s="36">
        <f t="shared" si="39"/>
        <v>1148092000</v>
      </c>
      <c r="AC222" s="36">
        <v>1148092000</v>
      </c>
    </row>
    <row r="223" spans="1:29" ht="11.25" outlineLevel="1">
      <c r="A223" s="217"/>
      <c r="B223" s="49"/>
      <c r="C223" s="31" t="s">
        <v>325</v>
      </c>
      <c r="D223" s="5" t="s">
        <v>219</v>
      </c>
      <c r="E223" s="5">
        <v>1256</v>
      </c>
      <c r="F223" s="3" t="s">
        <v>326</v>
      </c>
      <c r="G223" s="113">
        <v>39799</v>
      </c>
      <c r="H223" s="49" t="s">
        <v>529</v>
      </c>
      <c r="I223" s="5" t="s">
        <v>168</v>
      </c>
      <c r="J223" s="36">
        <v>14943250.9</v>
      </c>
      <c r="K223" s="57">
        <v>66405714944.47</v>
      </c>
      <c r="L223" s="36"/>
      <c r="M223" s="36"/>
      <c r="N223" s="36"/>
      <c r="O223" s="36"/>
      <c r="P223" s="36"/>
      <c r="Q223" s="36"/>
      <c r="R223" s="36">
        <f t="shared" si="41"/>
        <v>0</v>
      </c>
      <c r="S223" s="36">
        <f t="shared" si="41"/>
        <v>0</v>
      </c>
      <c r="T223" s="36">
        <f t="shared" si="42"/>
        <v>14943250.9</v>
      </c>
      <c r="U223" s="36">
        <f t="shared" si="43"/>
        <v>66405714944.47</v>
      </c>
      <c r="V223" s="118">
        <v>4486.54</v>
      </c>
      <c r="W223" s="37">
        <f t="shared" si="45"/>
        <v>67043492892.89</v>
      </c>
      <c r="X223" s="36">
        <f t="shared" si="44"/>
        <v>0</v>
      </c>
      <c r="Z223" s="17"/>
      <c r="AA223" s="17"/>
      <c r="AB223" s="36">
        <f t="shared" si="39"/>
        <v>637777948.42</v>
      </c>
      <c r="AC223" s="36">
        <v>637777948.42</v>
      </c>
    </row>
    <row r="224" spans="1:29" ht="11.25" outlineLevel="1">
      <c r="A224" s="217"/>
      <c r="B224" s="49"/>
      <c r="C224" s="31" t="s">
        <v>530</v>
      </c>
      <c r="D224" s="5" t="s">
        <v>219</v>
      </c>
      <c r="E224" s="5">
        <v>1130</v>
      </c>
      <c r="F224" s="3" t="s">
        <v>327</v>
      </c>
      <c r="G224" s="113">
        <v>38189</v>
      </c>
      <c r="H224" s="49" t="s">
        <v>328</v>
      </c>
      <c r="I224" s="80" t="s">
        <v>168</v>
      </c>
      <c r="J224" s="36">
        <v>33174000</v>
      </c>
      <c r="K224" s="57">
        <v>147420611640</v>
      </c>
      <c r="L224" s="36"/>
      <c r="M224" s="36"/>
      <c r="N224" s="36">
        <v>684000</v>
      </c>
      <c r="O224" s="36">
        <v>3008958146.97</v>
      </c>
      <c r="P224" s="36"/>
      <c r="Q224" s="36"/>
      <c r="R224" s="36">
        <f>+N224+P224</f>
        <v>684000</v>
      </c>
      <c r="S224" s="36">
        <f t="shared" si="41"/>
        <v>3008958146.97</v>
      </c>
      <c r="T224" s="36">
        <f t="shared" si="42"/>
        <v>32490000</v>
      </c>
      <c r="U224" s="36">
        <f t="shared" si="43"/>
        <v>144411653493.03</v>
      </c>
      <c r="V224" s="118">
        <v>4486.54</v>
      </c>
      <c r="W224" s="37">
        <f t="shared" si="45"/>
        <v>145767684600</v>
      </c>
      <c r="X224" s="36">
        <f t="shared" si="44"/>
        <v>0</v>
      </c>
      <c r="Z224" s="17"/>
      <c r="AA224" s="17"/>
      <c r="AB224" s="36">
        <f t="shared" si="39"/>
        <v>1356031106.97</v>
      </c>
      <c r="AC224" s="36">
        <v>1356031106.97</v>
      </c>
    </row>
    <row r="225" spans="1:28" ht="11.25" outlineLevel="1">
      <c r="A225" s="217"/>
      <c r="B225" s="49"/>
      <c r="C225" s="31" t="s">
        <v>329</v>
      </c>
      <c r="D225" s="5" t="s">
        <v>219</v>
      </c>
      <c r="E225" s="5">
        <v>1264</v>
      </c>
      <c r="F225" s="3" t="s">
        <v>330</v>
      </c>
      <c r="G225" s="113">
        <v>40828</v>
      </c>
      <c r="H225" s="49" t="s">
        <v>531</v>
      </c>
      <c r="I225" s="5" t="s">
        <v>168</v>
      </c>
      <c r="J225" s="36">
        <v>22862122.94</v>
      </c>
      <c r="K225" s="57">
        <v>101596073648.15</v>
      </c>
      <c r="L225" s="36">
        <f>-76545+2925098.65</f>
        <v>2848553.65</v>
      </c>
      <c r="M225" s="36">
        <f>-326726242.55+13037090638.32</f>
        <v>12710364395.77</v>
      </c>
      <c r="N225" s="36"/>
      <c r="O225" s="36"/>
      <c r="P225" s="36"/>
      <c r="Q225" s="36"/>
      <c r="R225" s="36">
        <f>+N225+P225</f>
        <v>0</v>
      </c>
      <c r="S225" s="36">
        <f t="shared" si="41"/>
        <v>0</v>
      </c>
      <c r="T225" s="36">
        <f t="shared" si="42"/>
        <v>25710676.59</v>
      </c>
      <c r="U225" s="36">
        <f t="shared" si="43"/>
        <v>114306438043.92</v>
      </c>
      <c r="V225" s="118">
        <v>4486.54</v>
      </c>
      <c r="W225" s="37">
        <f t="shared" si="45"/>
        <v>115351978948.1</v>
      </c>
      <c r="X225" s="36">
        <f t="shared" si="44"/>
        <v>1045540904.18</v>
      </c>
      <c r="Z225" s="17"/>
      <c r="AA225" s="17"/>
      <c r="AB225" s="36">
        <f t="shared" si="39"/>
        <v>0</v>
      </c>
    </row>
    <row r="226" spans="1:29" ht="11.25" outlineLevel="1">
      <c r="A226" s="217"/>
      <c r="B226" s="49"/>
      <c r="C226" s="31" t="s">
        <v>334</v>
      </c>
      <c r="D226" s="5" t="s">
        <v>219</v>
      </c>
      <c r="E226" s="55" t="s">
        <v>335</v>
      </c>
      <c r="F226" s="3" t="s">
        <v>336</v>
      </c>
      <c r="G226" s="113">
        <v>41246</v>
      </c>
      <c r="H226" s="49" t="s">
        <v>337</v>
      </c>
      <c r="I226" s="81" t="s">
        <v>168</v>
      </c>
      <c r="J226" s="36">
        <v>33381895.85</v>
      </c>
      <c r="K226" s="57">
        <v>148344471691.98</v>
      </c>
      <c r="L226" s="36">
        <v>8375206.04</v>
      </c>
      <c r="M226" s="36">
        <v>36990361236.11</v>
      </c>
      <c r="N226" s="36"/>
      <c r="O226" s="36"/>
      <c r="P226" s="36"/>
      <c r="Q226" s="36"/>
      <c r="R226" s="36">
        <f aca="true" t="shared" si="46" ref="R226:S237">+N226+P226</f>
        <v>0</v>
      </c>
      <c r="S226" s="36">
        <f t="shared" si="46"/>
        <v>0</v>
      </c>
      <c r="T226" s="36">
        <f>+J226+L226-R226</f>
        <v>41757101.89</v>
      </c>
      <c r="U226" s="36">
        <f t="shared" si="43"/>
        <v>185355747165.37</v>
      </c>
      <c r="V226" s="118">
        <v>4486.54</v>
      </c>
      <c r="W226" s="37">
        <f>T226*V226</f>
        <v>187344907913.56</v>
      </c>
      <c r="X226" s="36">
        <f t="shared" si="44"/>
        <v>1989160748.19</v>
      </c>
      <c r="Z226" s="22">
        <v>3269404.86</v>
      </c>
      <c r="AA226" s="22">
        <v>24183642.14</v>
      </c>
      <c r="AB226" s="36">
        <f t="shared" si="39"/>
        <v>0</v>
      </c>
      <c r="AC226" s="22">
        <v>24183642.14</v>
      </c>
    </row>
    <row r="227" spans="1:29" ht="21.75" customHeight="1" outlineLevel="1">
      <c r="A227" s="217"/>
      <c r="B227" s="49"/>
      <c r="C227" s="31" t="s">
        <v>338</v>
      </c>
      <c r="D227" s="5" t="s">
        <v>219</v>
      </c>
      <c r="E227" s="55">
        <v>1269</v>
      </c>
      <c r="F227" s="3" t="s">
        <v>339</v>
      </c>
      <c r="G227" s="113">
        <v>41246</v>
      </c>
      <c r="H227" s="114" t="s">
        <v>532</v>
      </c>
      <c r="I227" s="81" t="s">
        <v>168</v>
      </c>
      <c r="J227" s="36">
        <v>42658688.23</v>
      </c>
      <c r="K227" s="57">
        <v>189569238277.77</v>
      </c>
      <c r="L227" s="36">
        <v>11095069.66</v>
      </c>
      <c r="M227" s="36">
        <v>49170338910.26</v>
      </c>
      <c r="N227" s="36"/>
      <c r="O227" s="36"/>
      <c r="P227" s="36"/>
      <c r="Q227" s="36"/>
      <c r="R227" s="36">
        <f t="shared" si="46"/>
        <v>0</v>
      </c>
      <c r="S227" s="36">
        <f t="shared" si="46"/>
        <v>0</v>
      </c>
      <c r="T227" s="36">
        <f>+J227+L227-R227</f>
        <v>53753757.89</v>
      </c>
      <c r="U227" s="36">
        <f t="shared" si="43"/>
        <v>238737530810.59</v>
      </c>
      <c r="V227" s="118">
        <v>4486.54</v>
      </c>
      <c r="W227" s="37">
        <f>T227*V227</f>
        <v>241168384923.8</v>
      </c>
      <c r="X227" s="36">
        <f t="shared" si="44"/>
        <v>2430854113.21</v>
      </c>
      <c r="Z227" s="22">
        <v>20937805.22</v>
      </c>
      <c r="AA227" s="22">
        <v>18891427.78</v>
      </c>
      <c r="AB227" s="36">
        <f t="shared" si="39"/>
        <v>0</v>
      </c>
      <c r="AC227" s="22">
        <v>18891427.78</v>
      </c>
    </row>
    <row r="228" spans="1:28" ht="11.25" outlineLevel="1">
      <c r="A228" s="217"/>
      <c r="B228" s="49"/>
      <c r="C228" s="31" t="s">
        <v>331</v>
      </c>
      <c r="D228" s="5" t="s">
        <v>219</v>
      </c>
      <c r="E228" s="5" t="s">
        <v>332</v>
      </c>
      <c r="F228" s="3" t="s">
        <v>333</v>
      </c>
      <c r="G228" s="113">
        <v>41117</v>
      </c>
      <c r="H228" s="49" t="s">
        <v>533</v>
      </c>
      <c r="I228" s="5" t="s">
        <v>168</v>
      </c>
      <c r="J228" s="36">
        <v>3438671.07</v>
      </c>
      <c r="K228" s="57">
        <v>15280972821.13</v>
      </c>
      <c r="L228" s="36"/>
      <c r="M228" s="36"/>
      <c r="N228" s="36"/>
      <c r="O228" s="36"/>
      <c r="P228" s="36"/>
      <c r="Q228" s="36"/>
      <c r="R228" s="36">
        <f t="shared" si="46"/>
        <v>0</v>
      </c>
      <c r="S228" s="36">
        <f t="shared" si="46"/>
        <v>0</v>
      </c>
      <c r="T228" s="36">
        <f t="shared" si="42"/>
        <v>3438671.07</v>
      </c>
      <c r="U228" s="36">
        <f t="shared" si="43"/>
        <v>15280972821.13</v>
      </c>
      <c r="V228" s="118">
        <v>4486.54</v>
      </c>
      <c r="W228" s="37">
        <f>T228*V228</f>
        <v>15427735302.4</v>
      </c>
      <c r="X228" s="36">
        <f t="shared" si="44"/>
        <v>146762481.27</v>
      </c>
      <c r="Z228" s="17"/>
      <c r="AA228" s="17"/>
      <c r="AB228" s="36">
        <f t="shared" si="39"/>
        <v>0</v>
      </c>
    </row>
    <row r="229" spans="1:29" ht="11.25" outlineLevel="1">
      <c r="A229" s="217"/>
      <c r="B229" s="49"/>
      <c r="C229" s="31" t="s">
        <v>534</v>
      </c>
      <c r="D229" s="5" t="s">
        <v>219</v>
      </c>
      <c r="E229" s="5">
        <v>1117</v>
      </c>
      <c r="F229" s="3" t="s">
        <v>223</v>
      </c>
      <c r="G229" s="113">
        <v>37956</v>
      </c>
      <c r="H229" s="49" t="s">
        <v>224</v>
      </c>
      <c r="I229" s="5" t="s">
        <v>168</v>
      </c>
      <c r="J229" s="36">
        <v>7008000</v>
      </c>
      <c r="K229" s="57">
        <v>31142570880</v>
      </c>
      <c r="L229" s="36"/>
      <c r="M229" s="36"/>
      <c r="N229" s="36">
        <v>146000</v>
      </c>
      <c r="O229" s="36">
        <v>631310465.52</v>
      </c>
      <c r="P229" s="36"/>
      <c r="Q229" s="36"/>
      <c r="R229" s="36">
        <f t="shared" si="46"/>
        <v>146000</v>
      </c>
      <c r="S229" s="36">
        <f t="shared" si="46"/>
        <v>631310465.52</v>
      </c>
      <c r="T229" s="36">
        <f>+J229+L229-R229</f>
        <v>6862000</v>
      </c>
      <c r="U229" s="36">
        <f t="shared" si="43"/>
        <v>30511260414.48</v>
      </c>
      <c r="V229" s="118">
        <v>4486.54</v>
      </c>
      <c r="W229" s="37">
        <f>T229*V229</f>
        <v>30786637480</v>
      </c>
      <c r="X229" s="36">
        <f t="shared" si="44"/>
        <v>0</v>
      </c>
      <c r="Z229" s="17"/>
      <c r="AA229" s="17"/>
      <c r="AB229" s="36">
        <f t="shared" si="39"/>
        <v>275377065.52</v>
      </c>
      <c r="AC229" s="36">
        <v>275377065.52</v>
      </c>
    </row>
    <row r="230" spans="1:29" ht="22.5" customHeight="1" outlineLevel="1">
      <c r="A230" s="217"/>
      <c r="B230" s="40" t="s">
        <v>133</v>
      </c>
      <c r="C230" s="31" t="s">
        <v>343</v>
      </c>
      <c r="D230" s="5" t="s">
        <v>219</v>
      </c>
      <c r="E230" s="55">
        <v>1290</v>
      </c>
      <c r="F230" s="3" t="s">
        <v>344</v>
      </c>
      <c r="G230" s="113">
        <v>41991</v>
      </c>
      <c r="H230" s="114" t="s">
        <v>345</v>
      </c>
      <c r="I230" s="5" t="s">
        <v>168</v>
      </c>
      <c r="J230" s="84">
        <v>30500000</v>
      </c>
      <c r="K230" s="57">
        <v>135537730000</v>
      </c>
      <c r="L230" s="36"/>
      <c r="M230" s="36"/>
      <c r="N230" s="36"/>
      <c r="O230" s="36"/>
      <c r="P230" s="36"/>
      <c r="Q230" s="36"/>
      <c r="R230" s="36">
        <f t="shared" si="46"/>
        <v>0</v>
      </c>
      <c r="S230" s="36">
        <f t="shared" si="46"/>
        <v>0</v>
      </c>
      <c r="T230" s="36">
        <f>+J230+L230-R230</f>
        <v>30500000</v>
      </c>
      <c r="U230" s="36">
        <f t="shared" si="43"/>
        <v>135537730000</v>
      </c>
      <c r="V230" s="118">
        <v>4486.54</v>
      </c>
      <c r="W230" s="37">
        <f>T230*V230</f>
        <v>136839470000</v>
      </c>
      <c r="X230" s="36">
        <f t="shared" si="44"/>
        <v>0</v>
      </c>
      <c r="Z230" s="17"/>
      <c r="AA230" s="17"/>
      <c r="AB230" s="36">
        <f t="shared" si="39"/>
        <v>1301740000</v>
      </c>
      <c r="AC230" s="36">
        <v>1301740000</v>
      </c>
    </row>
    <row r="231" spans="1:29" s="73" customFormat="1" ht="22.5" customHeight="1" outlineLevel="1">
      <c r="A231" s="217"/>
      <c r="B231" s="40" t="s">
        <v>133</v>
      </c>
      <c r="C231" s="49" t="s">
        <v>535</v>
      </c>
      <c r="D231" s="5" t="s">
        <v>219</v>
      </c>
      <c r="E231" s="18">
        <v>1283</v>
      </c>
      <c r="F231" s="3" t="s">
        <v>342</v>
      </c>
      <c r="G231" s="113">
        <v>41725</v>
      </c>
      <c r="H231" s="114" t="s">
        <v>536</v>
      </c>
      <c r="I231" s="5" t="s">
        <v>168</v>
      </c>
      <c r="J231" s="84">
        <v>9979118.3</v>
      </c>
      <c r="K231" s="57">
        <v>44345804648.64</v>
      </c>
      <c r="L231" s="36">
        <v>10488975.04</v>
      </c>
      <c r="M231" s="36">
        <v>46492450628.2</v>
      </c>
      <c r="N231" s="72"/>
      <c r="O231" s="72"/>
      <c r="P231" s="36"/>
      <c r="Q231" s="36"/>
      <c r="R231" s="36">
        <f t="shared" si="46"/>
        <v>0</v>
      </c>
      <c r="S231" s="36">
        <f t="shared" si="46"/>
        <v>0</v>
      </c>
      <c r="T231" s="36">
        <f t="shared" si="42"/>
        <v>20468093.34</v>
      </c>
      <c r="U231" s="36">
        <f t="shared" si="43"/>
        <v>90847078011.71</v>
      </c>
      <c r="V231" s="118">
        <v>4486.54</v>
      </c>
      <c r="W231" s="37">
        <f t="shared" si="45"/>
        <v>91830919493.64</v>
      </c>
      <c r="X231" s="36">
        <f t="shared" si="44"/>
        <v>983841481.93</v>
      </c>
      <c r="Y231" s="22"/>
      <c r="Z231" s="23">
        <v>4569332.98</v>
      </c>
      <c r="AA231" s="23">
        <v>13392067.85</v>
      </c>
      <c r="AB231" s="36">
        <f t="shared" si="39"/>
        <v>0</v>
      </c>
      <c r="AC231" s="23">
        <v>13392067.85</v>
      </c>
    </row>
    <row r="232" spans="1:29" ht="22.5" customHeight="1" outlineLevel="1">
      <c r="A232" s="217"/>
      <c r="B232" s="82"/>
      <c r="C232" s="49" t="s">
        <v>537</v>
      </c>
      <c r="D232" s="5" t="s">
        <v>219</v>
      </c>
      <c r="E232" s="45">
        <v>1282</v>
      </c>
      <c r="F232" s="3" t="s">
        <v>340</v>
      </c>
      <c r="G232" s="113">
        <v>41725</v>
      </c>
      <c r="H232" s="114" t="s">
        <v>341</v>
      </c>
      <c r="I232" s="83" t="s">
        <v>168</v>
      </c>
      <c r="J232" s="36">
        <v>1513989.84</v>
      </c>
      <c r="K232" s="57">
        <v>6727958890.38</v>
      </c>
      <c r="L232" s="36">
        <v>3776142.99</v>
      </c>
      <c r="M232" s="36">
        <v>16655996587.55</v>
      </c>
      <c r="N232" s="36"/>
      <c r="O232" s="36"/>
      <c r="P232" s="36"/>
      <c r="Q232" s="36"/>
      <c r="R232" s="36">
        <f>+N232+P232</f>
        <v>0</v>
      </c>
      <c r="S232" s="36">
        <f>+O232+Q232</f>
        <v>0</v>
      </c>
      <c r="T232" s="36">
        <f>+J232+L232-R232</f>
        <v>5290132.83</v>
      </c>
      <c r="U232" s="36">
        <f t="shared" si="43"/>
        <v>23388549928.01</v>
      </c>
      <c r="V232" s="118">
        <v>4486.54</v>
      </c>
      <c r="W232" s="37">
        <f>T232*V232</f>
        <v>23734392547.11</v>
      </c>
      <c r="X232" s="36">
        <f t="shared" si="44"/>
        <v>345842619.1</v>
      </c>
      <c r="Z232" s="22">
        <v>1932722.22</v>
      </c>
      <c r="AA232" s="22">
        <v>6527172.3</v>
      </c>
      <c r="AB232" s="36">
        <f t="shared" si="39"/>
        <v>0</v>
      </c>
      <c r="AC232" s="22">
        <v>6527172.3</v>
      </c>
    </row>
    <row r="233" spans="1:31" s="73" customFormat="1" ht="11.25" outlineLevel="1">
      <c r="A233" s="217"/>
      <c r="B233" s="40" t="s">
        <v>133</v>
      </c>
      <c r="C233" s="31" t="s">
        <v>538</v>
      </c>
      <c r="D233" s="5" t="s">
        <v>219</v>
      </c>
      <c r="E233" s="55">
        <v>1294</v>
      </c>
      <c r="F233" s="3" t="s">
        <v>346</v>
      </c>
      <c r="G233" s="113">
        <v>41991</v>
      </c>
      <c r="H233" s="82" t="s">
        <v>347</v>
      </c>
      <c r="I233" s="5" t="s">
        <v>168</v>
      </c>
      <c r="J233" s="84">
        <v>4083773.45</v>
      </c>
      <c r="K233" s="57">
        <v>18147717483.52</v>
      </c>
      <c r="L233" s="36">
        <v>6294203.36</v>
      </c>
      <c r="M233" s="36">
        <v>28208437037.71</v>
      </c>
      <c r="N233" s="72"/>
      <c r="O233" s="72"/>
      <c r="P233" s="36"/>
      <c r="Q233" s="36"/>
      <c r="R233" s="36">
        <f t="shared" si="46"/>
        <v>0</v>
      </c>
      <c r="S233" s="36">
        <f t="shared" si="46"/>
        <v>0</v>
      </c>
      <c r="T233" s="36">
        <f t="shared" si="42"/>
        <v>10377976.81</v>
      </c>
      <c r="U233" s="36">
        <f t="shared" si="43"/>
        <v>46359956617.47</v>
      </c>
      <c r="V233" s="118">
        <v>4486.54</v>
      </c>
      <c r="W233" s="37">
        <f t="shared" si="45"/>
        <v>46561208077.14</v>
      </c>
      <c r="X233" s="36">
        <f t="shared" si="44"/>
        <v>201251459.67</v>
      </c>
      <c r="Y233" s="22"/>
      <c r="Z233" s="22">
        <v>410409.57</v>
      </c>
      <c r="AA233" s="22">
        <v>4212505.81</v>
      </c>
      <c r="AB233" s="36">
        <f t="shared" si="39"/>
        <v>0</v>
      </c>
      <c r="AC233" s="23">
        <v>4212505.81</v>
      </c>
      <c r="AD233" s="131"/>
      <c r="AE233" s="126"/>
    </row>
    <row r="234" spans="1:29" s="73" customFormat="1" ht="11.25" outlineLevel="1">
      <c r="A234" s="217"/>
      <c r="B234" s="40" t="s">
        <v>133</v>
      </c>
      <c r="C234" s="31" t="s">
        <v>539</v>
      </c>
      <c r="D234" s="5" t="s">
        <v>219</v>
      </c>
      <c r="E234" s="5">
        <v>1319</v>
      </c>
      <c r="F234" s="3" t="s">
        <v>540</v>
      </c>
      <c r="G234" s="115">
        <v>42348</v>
      </c>
      <c r="H234" s="82" t="s">
        <v>580</v>
      </c>
      <c r="I234" s="5" t="s">
        <v>168</v>
      </c>
      <c r="J234" s="84">
        <v>39400000</v>
      </c>
      <c r="K234" s="57">
        <v>175088084000</v>
      </c>
      <c r="L234" s="36"/>
      <c r="M234" s="36"/>
      <c r="N234" s="72"/>
      <c r="O234" s="72"/>
      <c r="P234" s="36"/>
      <c r="Q234" s="36"/>
      <c r="R234" s="36">
        <f t="shared" si="46"/>
        <v>0</v>
      </c>
      <c r="S234" s="36">
        <f t="shared" si="46"/>
        <v>0</v>
      </c>
      <c r="T234" s="36">
        <f t="shared" si="42"/>
        <v>39400000</v>
      </c>
      <c r="U234" s="36">
        <f t="shared" si="43"/>
        <v>175088084000</v>
      </c>
      <c r="V234" s="118">
        <v>4486.54</v>
      </c>
      <c r="W234" s="37">
        <f t="shared" si="45"/>
        <v>176769676000</v>
      </c>
      <c r="X234" s="36">
        <f t="shared" si="44"/>
        <v>1681592000</v>
      </c>
      <c r="Y234" s="22"/>
      <c r="AB234" s="36">
        <f t="shared" si="39"/>
        <v>0</v>
      </c>
      <c r="AC234" s="23"/>
    </row>
    <row r="235" spans="1:29" s="73" customFormat="1" ht="11.25" outlineLevel="1">
      <c r="A235" s="217"/>
      <c r="B235" s="40"/>
      <c r="C235" s="31" t="s">
        <v>541</v>
      </c>
      <c r="D235" s="5" t="s">
        <v>219</v>
      </c>
      <c r="E235" s="5">
        <v>1320</v>
      </c>
      <c r="F235" s="3" t="s">
        <v>542</v>
      </c>
      <c r="G235" s="113">
        <v>42321</v>
      </c>
      <c r="H235" s="82" t="s">
        <v>543</v>
      </c>
      <c r="I235" s="101" t="s">
        <v>168</v>
      </c>
      <c r="J235" s="84">
        <v>0</v>
      </c>
      <c r="K235" s="57">
        <v>0</v>
      </c>
      <c r="L235" s="36">
        <v>10315849.35</v>
      </c>
      <c r="M235" s="36">
        <v>45557693286.7</v>
      </c>
      <c r="N235" s="72"/>
      <c r="O235" s="72"/>
      <c r="P235" s="36"/>
      <c r="Q235" s="36"/>
      <c r="R235" s="36">
        <f t="shared" si="46"/>
        <v>0</v>
      </c>
      <c r="S235" s="36">
        <f t="shared" si="46"/>
        <v>0</v>
      </c>
      <c r="T235" s="36">
        <f t="shared" si="42"/>
        <v>10315849.35</v>
      </c>
      <c r="U235" s="36">
        <f t="shared" si="43"/>
        <v>45597457686.4</v>
      </c>
      <c r="V235" s="118">
        <v>4486.54</v>
      </c>
      <c r="W235" s="37">
        <f t="shared" si="45"/>
        <v>46282470742.75</v>
      </c>
      <c r="X235" s="36">
        <f t="shared" si="44"/>
        <v>685013056.35</v>
      </c>
      <c r="Y235" s="22"/>
      <c r="Z235" s="131">
        <v>2060637.41</v>
      </c>
      <c r="AA235" s="126">
        <v>41825037.11</v>
      </c>
      <c r="AB235" s="36">
        <f t="shared" si="39"/>
        <v>0</v>
      </c>
      <c r="AC235" s="23">
        <v>41825037.11</v>
      </c>
    </row>
    <row r="236" spans="1:29" s="73" customFormat="1" ht="22.5" customHeight="1" outlineLevel="1">
      <c r="A236" s="217"/>
      <c r="B236" s="40"/>
      <c r="C236" s="31" t="s">
        <v>544</v>
      </c>
      <c r="D236" s="5" t="s">
        <v>219</v>
      </c>
      <c r="E236" s="5">
        <v>1321</v>
      </c>
      <c r="F236" s="3" t="s">
        <v>545</v>
      </c>
      <c r="G236" s="113">
        <v>42468</v>
      </c>
      <c r="H236" s="114" t="s">
        <v>581</v>
      </c>
      <c r="I236" s="101" t="s">
        <v>168</v>
      </c>
      <c r="J236" s="84">
        <v>0</v>
      </c>
      <c r="K236" s="57">
        <v>0</v>
      </c>
      <c r="L236" s="36">
        <v>4200431.02</v>
      </c>
      <c r="M236" s="36">
        <v>18662744841.61</v>
      </c>
      <c r="N236" s="72"/>
      <c r="O236" s="72"/>
      <c r="P236" s="36"/>
      <c r="Q236" s="36"/>
      <c r="R236" s="36">
        <f t="shared" si="46"/>
        <v>0</v>
      </c>
      <c r="S236" s="36">
        <f t="shared" si="46"/>
        <v>0</v>
      </c>
      <c r="T236" s="36">
        <f t="shared" si="42"/>
        <v>4200431.02</v>
      </c>
      <c r="U236" s="36">
        <f t="shared" si="43"/>
        <v>18594509241.92</v>
      </c>
      <c r="V236" s="118">
        <v>4486.54</v>
      </c>
      <c r="W236" s="37">
        <f t="shared" si="45"/>
        <v>18845401788.47</v>
      </c>
      <c r="X236" s="36">
        <f t="shared" si="44"/>
        <v>250892546.55</v>
      </c>
      <c r="Y236" s="22"/>
      <c r="Z236" s="131">
        <f>33735458.86+34500140.83</f>
        <v>68235599.69</v>
      </c>
      <c r="AA236" s="131"/>
      <c r="AB236" s="36">
        <f t="shared" si="39"/>
        <v>0</v>
      </c>
      <c r="AC236" s="23"/>
    </row>
    <row r="237" spans="1:29" s="73" customFormat="1" ht="21.75" customHeight="1" outlineLevel="1">
      <c r="A237" s="217"/>
      <c r="B237" s="40"/>
      <c r="C237" s="31" t="s">
        <v>546</v>
      </c>
      <c r="D237" s="5" t="s">
        <v>219</v>
      </c>
      <c r="E237" s="5">
        <v>1322</v>
      </c>
      <c r="F237" s="3" t="s">
        <v>547</v>
      </c>
      <c r="G237" s="113">
        <v>42468</v>
      </c>
      <c r="H237" s="114" t="s">
        <v>548</v>
      </c>
      <c r="I237" s="101" t="s">
        <v>168</v>
      </c>
      <c r="J237" s="84">
        <v>0</v>
      </c>
      <c r="K237" s="57">
        <v>0</v>
      </c>
      <c r="L237" s="36">
        <v>2812438.58</v>
      </c>
      <c r="M237" s="36">
        <v>12497952549.03</v>
      </c>
      <c r="N237" s="72"/>
      <c r="O237" s="72"/>
      <c r="P237" s="36"/>
      <c r="Q237" s="36"/>
      <c r="R237" s="36">
        <f t="shared" si="46"/>
        <v>0</v>
      </c>
      <c r="S237" s="36">
        <f t="shared" si="46"/>
        <v>0</v>
      </c>
      <c r="T237" s="36">
        <f t="shared" si="42"/>
        <v>2812438.58</v>
      </c>
      <c r="U237" s="36">
        <f t="shared" si="43"/>
        <v>12620683835.32</v>
      </c>
      <c r="V237" s="118">
        <v>4486.54</v>
      </c>
      <c r="W237" s="37">
        <f t="shared" si="45"/>
        <v>12618118186.71</v>
      </c>
      <c r="X237" s="36">
        <f t="shared" si="44"/>
        <v>-2565648.61</v>
      </c>
      <c r="Y237" s="22"/>
      <c r="Z237" s="131">
        <v>16282626.08</v>
      </c>
      <c r="AA237" s="126">
        <v>139013912.37</v>
      </c>
      <c r="AB237" s="36">
        <f t="shared" si="39"/>
        <v>0</v>
      </c>
      <c r="AC237" s="23">
        <v>139013912.37</v>
      </c>
    </row>
    <row r="238" spans="1:28" ht="11.25" outlineLevel="1">
      <c r="A238" s="217"/>
      <c r="C238" s="38"/>
      <c r="E238" s="18"/>
      <c r="F238" s="9"/>
      <c r="G238" s="121"/>
      <c r="H238" s="40" t="s">
        <v>348</v>
      </c>
      <c r="I238" s="101"/>
      <c r="J238" s="15">
        <f>SUM(J187:J237)</f>
        <v>1019095835.13</v>
      </c>
      <c r="K238" s="15">
        <f>SUM(K187:K237)</f>
        <v>4528719217900.81</v>
      </c>
      <c r="L238" s="15">
        <f>SUM(L187:L237)</f>
        <v>60206869.69</v>
      </c>
      <c r="M238" s="15">
        <f>SUM(M187:M237)</f>
        <v>266946339472.94</v>
      </c>
      <c r="N238" s="15">
        <f aca="true" t="shared" si="47" ref="N238:U238">SUM(N187:N237)</f>
        <v>12776181.28</v>
      </c>
      <c r="O238" s="15">
        <f t="shared" si="47"/>
        <v>56569509372</v>
      </c>
      <c r="P238" s="15">
        <f t="shared" si="47"/>
        <v>0</v>
      </c>
      <c r="Q238" s="15">
        <f t="shared" si="47"/>
        <v>0</v>
      </c>
      <c r="R238" s="15">
        <f t="shared" si="47"/>
        <v>12776181.28</v>
      </c>
      <c r="S238" s="15">
        <f t="shared" si="47"/>
        <v>56569509372</v>
      </c>
      <c r="T238" s="15">
        <f t="shared" si="47"/>
        <v>1066526523.54</v>
      </c>
      <c r="U238" s="15">
        <f t="shared" si="47"/>
        <v>4739226395229.08</v>
      </c>
      <c r="V238" s="15"/>
      <c r="W238" s="15">
        <f>SUM(W187:W237)</f>
        <v>4785013908923.2</v>
      </c>
      <c r="X238" s="15">
        <f>SUM(X187:X237)</f>
        <v>12836040413.7</v>
      </c>
      <c r="Z238" s="85"/>
      <c r="AA238" s="85"/>
      <c r="AB238" s="36">
        <f t="shared" si="39"/>
        <v>0</v>
      </c>
    </row>
    <row r="239" spans="1:29" s="85" customFormat="1" ht="7.5" customHeight="1" outlineLevel="1">
      <c r="A239" s="217"/>
      <c r="B239" s="86"/>
      <c r="C239" s="87"/>
      <c r="D239" s="10"/>
      <c r="E239" s="10"/>
      <c r="F239" s="11"/>
      <c r="G239" s="116"/>
      <c r="H239" s="88"/>
      <c r="I239" s="89"/>
      <c r="J239" s="47"/>
      <c r="K239" s="46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8"/>
      <c r="X239" s="47"/>
      <c r="Y239" s="22"/>
      <c r="Z239" s="17"/>
      <c r="AA239" s="17"/>
      <c r="AB239" s="36">
        <f t="shared" si="39"/>
        <v>0</v>
      </c>
      <c r="AC239" s="22"/>
    </row>
    <row r="240" spans="1:28" ht="11.25" outlineLevel="1">
      <c r="A240" s="217"/>
      <c r="B240" s="146">
        <v>1621302</v>
      </c>
      <c r="C240" s="49"/>
      <c r="D240" s="5"/>
      <c r="E240" s="5"/>
      <c r="F240" s="3"/>
      <c r="G240" s="113"/>
      <c r="H240" s="28" t="s">
        <v>404</v>
      </c>
      <c r="I240" s="5"/>
      <c r="J240" s="36"/>
      <c r="K240" s="57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7"/>
      <c r="X240" s="36"/>
      <c r="Z240" s="17"/>
      <c r="AA240" s="17"/>
      <c r="AB240" s="36">
        <f t="shared" si="39"/>
        <v>0</v>
      </c>
    </row>
    <row r="241" spans="1:29" ht="11.25" outlineLevel="1">
      <c r="A241" s="217"/>
      <c r="B241" s="49"/>
      <c r="C241" s="31" t="s">
        <v>405</v>
      </c>
      <c r="D241" s="5" t="s">
        <v>404</v>
      </c>
      <c r="E241" s="5">
        <v>1253</v>
      </c>
      <c r="F241" s="3" t="s">
        <v>406</v>
      </c>
      <c r="G241" s="113">
        <v>39766</v>
      </c>
      <c r="H241" s="49" t="s">
        <v>407</v>
      </c>
      <c r="I241" s="5" t="s">
        <v>9</v>
      </c>
      <c r="J241" s="36">
        <v>20967725.87</v>
      </c>
      <c r="K241" s="57">
        <v>67080158280.56</v>
      </c>
      <c r="L241" s="36"/>
      <c r="M241" s="36"/>
      <c r="N241" s="36">
        <v>1612903.22</v>
      </c>
      <c r="O241" s="36">
        <v>5337338690.46</v>
      </c>
      <c r="P241" s="36"/>
      <c r="Q241" s="36"/>
      <c r="R241" s="36">
        <f>+N241+P241</f>
        <v>1612903.22</v>
      </c>
      <c r="S241" s="36">
        <f>+O241+Q241</f>
        <v>5337338690.46</v>
      </c>
      <c r="T241" s="36">
        <f>+J241+L241-R241</f>
        <v>19354822.65</v>
      </c>
      <c r="U241" s="36">
        <f>+K241+M241-S241-Z241+AA241</f>
        <v>61742819590.1</v>
      </c>
      <c r="V241" s="118">
        <v>3347.94</v>
      </c>
      <c r="W241" s="37">
        <f>T241*V241</f>
        <v>64798784942.84</v>
      </c>
      <c r="X241" s="36">
        <f>+W241-U241-AB241</f>
        <v>0</v>
      </c>
      <c r="Z241" s="17"/>
      <c r="AA241" s="17"/>
      <c r="AB241" s="36">
        <f t="shared" si="39"/>
        <v>3055965352.74</v>
      </c>
      <c r="AC241" s="36">
        <v>3055965352.74</v>
      </c>
    </row>
    <row r="242" spans="1:28" ht="11.25" outlineLevel="1">
      <c r="A242" s="217"/>
      <c r="C242" s="38"/>
      <c r="D242" s="74"/>
      <c r="E242" s="74"/>
      <c r="F242" s="8"/>
      <c r="G242" s="115"/>
      <c r="H242" s="146" t="s">
        <v>408</v>
      </c>
      <c r="I242" s="5"/>
      <c r="J242" s="15">
        <f>SUM(J241)</f>
        <v>20967725.87</v>
      </c>
      <c r="K242" s="67">
        <f>SUM(K241)</f>
        <v>67080158280.56</v>
      </c>
      <c r="L242" s="15">
        <f aca="true" t="shared" si="48" ref="L242:U242">SUM(L241)</f>
        <v>0</v>
      </c>
      <c r="M242" s="15">
        <f t="shared" si="48"/>
        <v>0</v>
      </c>
      <c r="N242" s="15">
        <f t="shared" si="48"/>
        <v>1612903.22</v>
      </c>
      <c r="O242" s="15">
        <f t="shared" si="48"/>
        <v>5337338690.46</v>
      </c>
      <c r="P242" s="15">
        <f t="shared" si="48"/>
        <v>0</v>
      </c>
      <c r="Q242" s="15">
        <f t="shared" si="48"/>
        <v>0</v>
      </c>
      <c r="R242" s="15">
        <f t="shared" si="48"/>
        <v>1612903.22</v>
      </c>
      <c r="S242" s="15">
        <f t="shared" si="48"/>
        <v>5337338690.46</v>
      </c>
      <c r="T242" s="15">
        <f t="shared" si="48"/>
        <v>19354822.65</v>
      </c>
      <c r="U242" s="15">
        <f t="shared" si="48"/>
        <v>61742819590.1</v>
      </c>
      <c r="V242" s="15"/>
      <c r="W242" s="43">
        <f>SUM(W241)</f>
        <v>64798784942.84</v>
      </c>
      <c r="X242" s="15">
        <f>SUM(X241)</f>
        <v>0</v>
      </c>
      <c r="Z242" s="17"/>
      <c r="AA242" s="17"/>
      <c r="AB242" s="36">
        <f t="shared" si="39"/>
        <v>0</v>
      </c>
    </row>
    <row r="243" spans="1:29" ht="11.25" outlineLevel="1">
      <c r="A243" s="217"/>
      <c r="C243" s="38"/>
      <c r="D243" s="65"/>
      <c r="E243" s="76"/>
      <c r="F243" s="11"/>
      <c r="G243" s="116"/>
      <c r="H243" s="94"/>
      <c r="I243" s="45"/>
      <c r="J243" s="78"/>
      <c r="K243" s="77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9"/>
      <c r="X243" s="78"/>
      <c r="Z243" s="19"/>
      <c r="AA243" s="19"/>
      <c r="AB243" s="36">
        <f t="shared" si="39"/>
        <v>0</v>
      </c>
      <c r="AC243" s="92"/>
    </row>
    <row r="244" spans="1:28" ht="11.25" outlineLevel="1">
      <c r="A244" s="217"/>
      <c r="B244" s="146">
        <v>1621309</v>
      </c>
      <c r="C244" s="49"/>
      <c r="D244" s="5"/>
      <c r="E244" s="5"/>
      <c r="F244" s="3"/>
      <c r="G244" s="113"/>
      <c r="H244" s="27" t="s">
        <v>416</v>
      </c>
      <c r="I244" s="5"/>
      <c r="J244" s="36"/>
      <c r="K244" s="57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7"/>
      <c r="X244" s="36"/>
      <c r="Z244" s="17"/>
      <c r="AA244" s="17"/>
      <c r="AB244" s="36">
        <f t="shared" si="39"/>
        <v>0</v>
      </c>
    </row>
    <row r="245" spans="1:28" ht="11.25" outlineLevel="1">
      <c r="A245" s="217"/>
      <c r="B245" s="49"/>
      <c r="C245" s="31" t="s">
        <v>549</v>
      </c>
      <c r="D245" s="5" t="s">
        <v>416</v>
      </c>
      <c r="E245" s="5">
        <v>1051</v>
      </c>
      <c r="F245" s="3" t="s">
        <v>417</v>
      </c>
      <c r="G245" s="113">
        <v>36881</v>
      </c>
      <c r="H245" s="49" t="s">
        <v>418</v>
      </c>
      <c r="I245" s="5" t="s">
        <v>419</v>
      </c>
      <c r="J245" s="36">
        <v>4294465</v>
      </c>
      <c r="K245" s="57">
        <v>45266710170.15</v>
      </c>
      <c r="L245" s="36"/>
      <c r="M245" s="36"/>
      <c r="N245" s="36">
        <v>296170</v>
      </c>
      <c r="O245" s="36">
        <v>3098602401.24</v>
      </c>
      <c r="P245" s="36"/>
      <c r="Q245" s="36"/>
      <c r="R245" s="36">
        <f>N245+P245</f>
        <v>296170</v>
      </c>
      <c r="S245" s="36">
        <f>O245+Q245</f>
        <v>3098602401.24</v>
      </c>
      <c r="T245" s="36">
        <f>+J245+L245-R245</f>
        <v>3998295</v>
      </c>
      <c r="U245" s="36">
        <f>+K245+M245-S245-Z245+AA245</f>
        <v>42168107768.91</v>
      </c>
      <c r="V245" s="36">
        <v>10954.58</v>
      </c>
      <c r="W245" s="37">
        <f>T245*V245</f>
        <v>43799642441.1</v>
      </c>
      <c r="X245" s="36">
        <f>+W245-U245-AB245</f>
        <v>1631534672.19</v>
      </c>
      <c r="Z245" s="17"/>
      <c r="AA245" s="17"/>
      <c r="AB245" s="36">
        <f t="shared" si="39"/>
        <v>0</v>
      </c>
    </row>
    <row r="246" spans="1:28" ht="11.25" outlineLevel="1">
      <c r="A246" s="217"/>
      <c r="B246" s="49"/>
      <c r="C246" s="31" t="s">
        <v>550</v>
      </c>
      <c r="D246" s="5" t="s">
        <v>416</v>
      </c>
      <c r="E246" s="5">
        <v>1152</v>
      </c>
      <c r="F246" s="3" t="s">
        <v>420</v>
      </c>
      <c r="G246" s="113">
        <v>38796</v>
      </c>
      <c r="H246" s="49" t="s">
        <v>421</v>
      </c>
      <c r="I246" s="5" t="s">
        <v>419</v>
      </c>
      <c r="J246" s="36">
        <v>2244000</v>
      </c>
      <c r="K246" s="57">
        <v>23653353240</v>
      </c>
      <c r="L246" s="36"/>
      <c r="M246" s="36"/>
      <c r="N246" s="36">
        <v>136000</v>
      </c>
      <c r="O246" s="36">
        <v>1426696849.52</v>
      </c>
      <c r="P246" s="36"/>
      <c r="Q246" s="36"/>
      <c r="R246" s="36">
        <f>+N246+P246</f>
        <v>136000</v>
      </c>
      <c r="S246" s="36">
        <f>+O246+Q246</f>
        <v>1426696849.52</v>
      </c>
      <c r="T246" s="36">
        <f>+J246+L246-R246</f>
        <v>2108000</v>
      </c>
      <c r="U246" s="36">
        <f>+K246+M246-S246-Z246+AA246</f>
        <v>22226656390.48</v>
      </c>
      <c r="V246" s="36">
        <v>10954.58</v>
      </c>
      <c r="W246" s="37">
        <f>T246*V246</f>
        <v>23092254640</v>
      </c>
      <c r="X246" s="36">
        <f>+W246-U246-AB246</f>
        <v>865598249.52</v>
      </c>
      <c r="Z246" s="17"/>
      <c r="AA246" s="17"/>
      <c r="AB246" s="36">
        <f t="shared" si="39"/>
        <v>0</v>
      </c>
    </row>
    <row r="247" spans="1:28" ht="11.25" outlineLevel="1">
      <c r="A247" s="217"/>
      <c r="B247" s="49"/>
      <c r="C247" s="31" t="s">
        <v>551</v>
      </c>
      <c r="D247" s="5" t="s">
        <v>416</v>
      </c>
      <c r="E247" s="5" t="s">
        <v>475</v>
      </c>
      <c r="F247" s="3" t="s">
        <v>422</v>
      </c>
      <c r="G247" s="113">
        <v>38541</v>
      </c>
      <c r="H247" s="49" t="s">
        <v>423</v>
      </c>
      <c r="I247" s="5" t="s">
        <v>419</v>
      </c>
      <c r="J247" s="36">
        <v>1861797.1</v>
      </c>
      <c r="K247" s="57">
        <v>19624663309.94</v>
      </c>
      <c r="L247" s="36"/>
      <c r="M247" s="36"/>
      <c r="N247" s="36"/>
      <c r="O247" s="36"/>
      <c r="P247" s="36"/>
      <c r="Q247" s="36"/>
      <c r="R247" s="36">
        <f>+N247+P247</f>
        <v>0</v>
      </c>
      <c r="S247" s="36">
        <f>+O247+Q247</f>
        <v>0</v>
      </c>
      <c r="T247" s="36">
        <f>+J247+L247-R247</f>
        <v>1861797.1</v>
      </c>
      <c r="U247" s="36">
        <f>+K247+M247-S247-Z247+AA247</f>
        <v>19624663309.94</v>
      </c>
      <c r="V247" s="36">
        <v>10954.58</v>
      </c>
      <c r="W247" s="37">
        <f>T247*V247</f>
        <v>20395205275.72</v>
      </c>
      <c r="X247" s="36">
        <f>+W247-U247-AB247</f>
        <v>770541965.78</v>
      </c>
      <c r="Z247" s="17"/>
      <c r="AA247" s="17"/>
      <c r="AB247" s="36">
        <f aca="true" t="shared" si="49" ref="AB247:AB254">+AC247-AA247</f>
        <v>0</v>
      </c>
    </row>
    <row r="248" spans="1:28" ht="11.25" outlineLevel="1">
      <c r="A248" s="217"/>
      <c r="C248" s="38"/>
      <c r="D248" s="17"/>
      <c r="E248" s="18"/>
      <c r="F248" s="9"/>
      <c r="H248" s="146" t="s">
        <v>424</v>
      </c>
      <c r="I248" s="100"/>
      <c r="J248" s="42">
        <f>SUM(J245:J247)</f>
        <v>8400262.1</v>
      </c>
      <c r="K248" s="41">
        <f>SUM(K245:K247)</f>
        <v>88544726720.09</v>
      </c>
      <c r="L248" s="42">
        <f aca="true" t="shared" si="50" ref="L248:U248">SUM(L245:L247)</f>
        <v>0</v>
      </c>
      <c r="M248" s="42">
        <f t="shared" si="50"/>
        <v>0</v>
      </c>
      <c r="N248" s="42">
        <f>SUM(N245:N247)</f>
        <v>432170</v>
      </c>
      <c r="O248" s="42">
        <f>SUM(O245:O247)</f>
        <v>4525299250.76</v>
      </c>
      <c r="P248" s="42">
        <f t="shared" si="50"/>
        <v>0</v>
      </c>
      <c r="Q248" s="42">
        <f t="shared" si="50"/>
        <v>0</v>
      </c>
      <c r="R248" s="42">
        <f t="shared" si="50"/>
        <v>432170</v>
      </c>
      <c r="S248" s="42">
        <f t="shared" si="50"/>
        <v>4525299250.76</v>
      </c>
      <c r="T248" s="42">
        <f t="shared" si="50"/>
        <v>7968092.1</v>
      </c>
      <c r="U248" s="42">
        <f t="shared" si="50"/>
        <v>84019427469.33</v>
      </c>
      <c r="V248" s="42"/>
      <c r="W248" s="143">
        <f>SUM(W245:W247)</f>
        <v>87287102356.82</v>
      </c>
      <c r="X248" s="42">
        <f>SUM(X245:X247)</f>
        <v>3267674887.49</v>
      </c>
      <c r="Z248" s="17"/>
      <c r="AA248" s="17"/>
      <c r="AB248" s="36">
        <f t="shared" si="49"/>
        <v>0</v>
      </c>
    </row>
    <row r="249" spans="1:28" ht="7.5" customHeight="1" outlineLevel="1">
      <c r="A249" s="217"/>
      <c r="C249" s="38"/>
      <c r="E249" s="18"/>
      <c r="F249" s="9"/>
      <c r="H249" s="12"/>
      <c r="I249" s="74"/>
      <c r="J249" s="127"/>
      <c r="K249" s="128"/>
      <c r="L249" s="127"/>
      <c r="M249" s="127"/>
      <c r="N249" s="127"/>
      <c r="O249" s="127"/>
      <c r="P249" s="127"/>
      <c r="Q249" s="127"/>
      <c r="R249" s="127"/>
      <c r="S249" s="127"/>
      <c r="T249" s="127"/>
      <c r="U249" s="127"/>
      <c r="V249" s="127"/>
      <c r="W249" s="130"/>
      <c r="X249" s="127"/>
      <c r="Z249" s="17"/>
      <c r="AA249" s="17"/>
      <c r="AB249" s="36">
        <f t="shared" si="49"/>
        <v>0</v>
      </c>
    </row>
    <row r="250" spans="1:29" s="19" customFormat="1" ht="11.25" outlineLevel="1">
      <c r="A250" s="217"/>
      <c r="B250" s="146">
        <v>16218</v>
      </c>
      <c r="C250" s="40"/>
      <c r="D250" s="27"/>
      <c r="E250" s="146"/>
      <c r="F250" s="13"/>
      <c r="G250" s="134"/>
      <c r="H250" s="27" t="s">
        <v>442</v>
      </c>
      <c r="I250" s="27"/>
      <c r="J250" s="15"/>
      <c r="K250" s="67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43"/>
      <c r="X250" s="15"/>
      <c r="Y250" s="92"/>
      <c r="Z250" s="17"/>
      <c r="AA250" s="17"/>
      <c r="AB250" s="36">
        <f t="shared" si="49"/>
        <v>0</v>
      </c>
      <c r="AC250" s="22"/>
    </row>
    <row r="251" spans="1:29" ht="11.25" outlineLevel="1">
      <c r="A251" s="217"/>
      <c r="B251" s="49"/>
      <c r="C251" s="31" t="s">
        <v>552</v>
      </c>
      <c r="D251" s="5" t="s">
        <v>443</v>
      </c>
      <c r="E251" s="5">
        <v>91</v>
      </c>
      <c r="F251" s="3"/>
      <c r="G251" s="113"/>
      <c r="H251" s="49" t="s">
        <v>444</v>
      </c>
      <c r="I251" s="5" t="s">
        <v>9</v>
      </c>
      <c r="J251" s="36">
        <v>3000000</v>
      </c>
      <c r="K251" s="57">
        <v>9597630000</v>
      </c>
      <c r="L251" s="36"/>
      <c r="M251" s="36"/>
      <c r="N251" s="36"/>
      <c r="O251" s="36"/>
      <c r="P251" s="36"/>
      <c r="Q251" s="36"/>
      <c r="R251" s="36">
        <f aca="true" t="shared" si="51" ref="R251:S254">+N251+P251</f>
        <v>0</v>
      </c>
      <c r="S251" s="36">
        <f t="shared" si="51"/>
        <v>0</v>
      </c>
      <c r="T251" s="36">
        <f>+J251+L251-R251</f>
        <v>3000000</v>
      </c>
      <c r="U251" s="36">
        <f>+K251+M251-S251-Z251+AA251</f>
        <v>9597630000</v>
      </c>
      <c r="V251" s="118">
        <v>3347.94</v>
      </c>
      <c r="W251" s="37">
        <f>T251*V251</f>
        <v>10043820000</v>
      </c>
      <c r="X251" s="36">
        <f>+W251-U251-AB251</f>
        <v>0</v>
      </c>
      <c r="Z251" s="17"/>
      <c r="AA251" s="17"/>
      <c r="AB251" s="36">
        <f t="shared" si="49"/>
        <v>446190000</v>
      </c>
      <c r="AC251" s="36">
        <v>446190000</v>
      </c>
    </row>
    <row r="252" spans="1:29" ht="11.25" outlineLevel="1">
      <c r="A252" s="217"/>
      <c r="B252" s="49"/>
      <c r="C252" s="31" t="s">
        <v>553</v>
      </c>
      <c r="D252" s="5" t="s">
        <v>445</v>
      </c>
      <c r="E252" s="5">
        <v>1905</v>
      </c>
      <c r="F252" s="3" t="s">
        <v>446</v>
      </c>
      <c r="G252" s="113">
        <v>40304</v>
      </c>
      <c r="H252" s="49" t="s">
        <v>447</v>
      </c>
      <c r="I252" s="5" t="s">
        <v>9</v>
      </c>
      <c r="J252" s="36">
        <v>13400416</v>
      </c>
      <c r="K252" s="57">
        <v>42870744871.36</v>
      </c>
      <c r="L252" s="36"/>
      <c r="M252" s="36"/>
      <c r="N252" s="36">
        <v>6700208</v>
      </c>
      <c r="O252" s="36">
        <v>21841438541.52</v>
      </c>
      <c r="P252" s="36"/>
      <c r="Q252" s="36"/>
      <c r="R252" s="36">
        <f t="shared" si="51"/>
        <v>6700208</v>
      </c>
      <c r="S252" s="36">
        <f t="shared" si="51"/>
        <v>21841438541.52</v>
      </c>
      <c r="T252" s="36">
        <f>+J252+L252-R252</f>
        <v>6700208</v>
      </c>
      <c r="U252" s="36">
        <f>+K252+M252-S252-Z252+AA252</f>
        <v>21029306329.84</v>
      </c>
      <c r="V252" s="118">
        <v>3347.94</v>
      </c>
      <c r="W252" s="37">
        <f>T252*V252</f>
        <v>22431894371.52</v>
      </c>
      <c r="X252" s="36">
        <f>+W252-U252-AB252</f>
        <v>0</v>
      </c>
      <c r="Z252" s="17"/>
      <c r="AA252" s="17"/>
      <c r="AB252" s="36">
        <f t="shared" si="49"/>
        <v>1402588041.68</v>
      </c>
      <c r="AC252" s="36">
        <v>1402588041.68</v>
      </c>
    </row>
    <row r="253" spans="1:29" ht="11.25" outlineLevel="1">
      <c r="A253" s="217"/>
      <c r="B253" s="49"/>
      <c r="C253" s="31" t="s">
        <v>554</v>
      </c>
      <c r="D253" s="5" t="s">
        <v>448</v>
      </c>
      <c r="E253" s="5">
        <v>10001805</v>
      </c>
      <c r="F253" s="3">
        <v>10001805</v>
      </c>
      <c r="G253" s="113">
        <v>39710</v>
      </c>
      <c r="H253" s="49" t="s">
        <v>449</v>
      </c>
      <c r="I253" s="5" t="s">
        <v>9</v>
      </c>
      <c r="J253" s="36">
        <v>51463665.73</v>
      </c>
      <c r="K253" s="57">
        <v>164643074040.07</v>
      </c>
      <c r="L253" s="36"/>
      <c r="M253" s="36"/>
      <c r="N253" s="36">
        <v>14703904.5</v>
      </c>
      <c r="O253" s="36">
        <v>49227790031.74</v>
      </c>
      <c r="P253" s="36"/>
      <c r="Q253" s="36"/>
      <c r="R253" s="36">
        <f t="shared" si="51"/>
        <v>14703904.5</v>
      </c>
      <c r="S253" s="36">
        <f t="shared" si="51"/>
        <v>49227790031.74</v>
      </c>
      <c r="T253" s="36">
        <f>+J253+L253-R253</f>
        <v>36759761.23</v>
      </c>
      <c r="U253" s="36">
        <f>+K253+M253-S253-Z253+AA253</f>
        <v>115415284008.33</v>
      </c>
      <c r="V253" s="118">
        <v>3347.94</v>
      </c>
      <c r="W253" s="37">
        <f>T253*V253</f>
        <v>123069475012.37</v>
      </c>
      <c r="X253" s="36">
        <f>+W253-U253-AB253</f>
        <v>0</v>
      </c>
      <c r="Z253" s="17"/>
      <c r="AA253" s="17"/>
      <c r="AB253" s="36">
        <f t="shared" si="49"/>
        <v>7654191004.04</v>
      </c>
      <c r="AC253" s="22">
        <v>7654191004.04</v>
      </c>
    </row>
    <row r="254" spans="1:29" ht="11.25" outlineLevel="1">
      <c r="A254" s="217"/>
      <c r="B254" s="49"/>
      <c r="C254" s="31" t="s">
        <v>555</v>
      </c>
      <c r="D254" s="5" t="s">
        <v>450</v>
      </c>
      <c r="E254" s="5">
        <v>10002005</v>
      </c>
      <c r="F254" s="3">
        <v>10002005</v>
      </c>
      <c r="G254" s="113">
        <v>42187</v>
      </c>
      <c r="H254" s="49" t="s">
        <v>460</v>
      </c>
      <c r="I254" s="5" t="s">
        <v>9</v>
      </c>
      <c r="J254" s="36">
        <v>88915926.67</v>
      </c>
      <c r="K254" s="57">
        <v>284460721761.93</v>
      </c>
      <c r="L254" s="36"/>
      <c r="M254" s="36"/>
      <c r="N254" s="36">
        <v>8891592.73</v>
      </c>
      <c r="O254" s="36">
        <v>27619198716.46</v>
      </c>
      <c r="P254" s="36"/>
      <c r="Q254" s="36"/>
      <c r="R254" s="36">
        <f t="shared" si="51"/>
        <v>8891592.73</v>
      </c>
      <c r="S254" s="36">
        <f t="shared" si="51"/>
        <v>27619198716.46</v>
      </c>
      <c r="T254" s="36">
        <f>+J254+L254-R254</f>
        <v>80024333.94</v>
      </c>
      <c r="U254" s="36">
        <f>+K254+M254-S254-Z254+AA254</f>
        <v>256841523045.47</v>
      </c>
      <c r="V254" s="118">
        <v>3347.94</v>
      </c>
      <c r="W254" s="37">
        <f>T254*V254</f>
        <v>267916668571.08</v>
      </c>
      <c r="X254" s="36">
        <f>+W254-U254-AB254</f>
        <v>0</v>
      </c>
      <c r="Z254" s="17"/>
      <c r="AA254" s="17"/>
      <c r="AB254" s="36">
        <f t="shared" si="49"/>
        <v>11075145525.61</v>
      </c>
      <c r="AC254" s="36">
        <v>11075145525.61</v>
      </c>
    </row>
    <row r="255" spans="1:27" ht="11.25" outlineLevel="1">
      <c r="A255" s="218"/>
      <c r="B255" s="66"/>
      <c r="C255" s="66"/>
      <c r="D255" s="184"/>
      <c r="E255" s="184"/>
      <c r="F255" s="185"/>
      <c r="G255" s="144"/>
      <c r="H255" s="146" t="s">
        <v>451</v>
      </c>
      <c r="I255" s="27"/>
      <c r="J255" s="15">
        <f aca="true" t="shared" si="52" ref="J255:U255">SUM(J251:J254)</f>
        <v>156780008.4</v>
      </c>
      <c r="K255" s="67">
        <f t="shared" si="52"/>
        <v>501572170673.36</v>
      </c>
      <c r="L255" s="15">
        <f t="shared" si="52"/>
        <v>0</v>
      </c>
      <c r="M255" s="15">
        <f t="shared" si="52"/>
        <v>0</v>
      </c>
      <c r="N255" s="15">
        <f t="shared" si="52"/>
        <v>30295705.23</v>
      </c>
      <c r="O255" s="15">
        <f t="shared" si="52"/>
        <v>98688427289.72</v>
      </c>
      <c r="P255" s="15">
        <f t="shared" si="52"/>
        <v>0</v>
      </c>
      <c r="Q255" s="15">
        <f t="shared" si="52"/>
        <v>0</v>
      </c>
      <c r="R255" s="15">
        <f t="shared" si="52"/>
        <v>30295705.23</v>
      </c>
      <c r="S255" s="15">
        <f t="shared" si="52"/>
        <v>98688427289.72</v>
      </c>
      <c r="T255" s="15">
        <f t="shared" si="52"/>
        <v>126484303.17</v>
      </c>
      <c r="U255" s="15">
        <f t="shared" si="52"/>
        <v>402883743383.64</v>
      </c>
      <c r="V255" s="15"/>
      <c r="W255" s="43">
        <f>SUM(W251:W254)</f>
        <v>423461857954.97</v>
      </c>
      <c r="X255" s="43">
        <f>SUM(X251:X254)</f>
        <v>0</v>
      </c>
      <c r="Z255" s="17"/>
      <c r="AA255" s="17"/>
    </row>
    <row r="256" spans="8:27" ht="21.75" customHeight="1">
      <c r="H256" s="17" t="s">
        <v>459</v>
      </c>
      <c r="W256" s="141"/>
      <c r="Z256" s="17"/>
      <c r="AA256" s="17"/>
    </row>
    <row r="257" spans="5:27" ht="11.25" hidden="1">
      <c r="E257" s="18"/>
      <c r="F257" s="9"/>
      <c r="L257" s="203"/>
      <c r="M257" s="203"/>
      <c r="N257" s="203"/>
      <c r="O257" s="203"/>
      <c r="P257" s="203"/>
      <c r="Q257" s="203"/>
      <c r="W257" s="141"/>
      <c r="Z257" s="17"/>
      <c r="AA257" s="17"/>
    </row>
    <row r="258" spans="3:29" ht="11.25" hidden="1">
      <c r="C258" s="19" t="s">
        <v>457</v>
      </c>
      <c r="E258" s="18"/>
      <c r="F258" s="9"/>
      <c r="J258" s="21"/>
      <c r="K258" s="21">
        <f>K30+K46+K51+K74+K97+K102+K106+K111+K115+K119+K124+K129+K133+K184+K238+K242+K248+K255</f>
        <v>7742351138115.66</v>
      </c>
      <c r="L258" s="21"/>
      <c r="M258" s="21">
        <f>M30+M46+M51+M74+M97+M102+M106+M111+M115+M119+M124+M129+M133+M184+M238+M242+M248+M255</f>
        <v>536035850696.9</v>
      </c>
      <c r="N258" s="21">
        <f>N30+N46+N51+N74+N97+N102+N106+N111+N115+N119+N124+N129+N133+N184+N238+N242+N248+N255</f>
        <v>87037313.58</v>
      </c>
      <c r="O258" s="21">
        <f>O30+O46+O51+O74+O97+O102+O106+O111+O115+O119+O124+O129+O133+O184+O238+O242+O248+O255</f>
        <v>220908379788.47</v>
      </c>
      <c r="P258" s="21">
        <f>P30+P46+P51+P74+P97+P102+P106+P111+P115+P119+P124+P129+P133+P184+P238+P242+P248+P255</f>
        <v>0</v>
      </c>
      <c r="Q258" s="21">
        <f>Q30+Q46+Q51+Q74+Q97+Q102+Q106+Q111+Q115+Q119+Q124+Q129+Q133+Q184+Q238+Q242+Q248+Q255</f>
        <v>0</v>
      </c>
      <c r="R258" s="21"/>
      <c r="S258" s="21">
        <f>S30+S46+S51+S74+S97+S102+S106+S111+S115+S119+S124+S129+S133+S184+S238+S242+S248+S255</f>
        <v>220908379788.47</v>
      </c>
      <c r="T258" s="21"/>
      <c r="U258" s="21">
        <f>U30+U46+U51+U74+U97+U102+U106+U111+U115+U119+U124+U129+U133+U184+U238+U242+U248+U255</f>
        <v>8057591532180.25</v>
      </c>
      <c r="W258" s="21">
        <f>W30+W46+W51+W74+W97+W102+W106+W111+W115+W119+W124+W129+W133+W184+W238+W242+W248+W255</f>
        <v>8215944223000.78</v>
      </c>
      <c r="X258" s="20">
        <f>X30+X46+X51+X74+X97+X102+X106+X111+X115+X119+X124+X129+X133+X184+X238+X242+X248+X255</f>
        <v>26350815157.59</v>
      </c>
      <c r="Z258" s="22">
        <f>SUM(Z28:Z257)</f>
        <v>135451426.5</v>
      </c>
      <c r="AA258" s="22">
        <f>SUM(AA28:AA257)</f>
        <v>248374582.66</v>
      </c>
      <c r="AB258" s="22">
        <f>SUM(AB28:AB257)</f>
        <v>132001875661.54</v>
      </c>
      <c r="AC258" s="22">
        <f>SUM(AC28:AC257)</f>
        <v>132250250244.2</v>
      </c>
    </row>
    <row r="259" spans="15:27" ht="11.25" hidden="1">
      <c r="O259" s="21"/>
      <c r="S259" s="21"/>
      <c r="U259" s="20">
        <f>+U258-AA258+Z258</f>
        <v>8057478609024.09</v>
      </c>
      <c r="Z259" s="20"/>
      <c r="AA259" s="20"/>
    </row>
    <row r="260" spans="4:29" s="20" customFormat="1" ht="11.25" hidden="1">
      <c r="D260" s="18"/>
      <c r="E260" s="17"/>
      <c r="F260" s="1"/>
      <c r="G260" s="104"/>
      <c r="H260" s="17"/>
      <c r="I260" s="18"/>
      <c r="J260" s="20" t="s">
        <v>556</v>
      </c>
      <c r="K260" s="21"/>
      <c r="Y260" s="22"/>
      <c r="Z260" s="21"/>
      <c r="AA260" s="21"/>
      <c r="AB260" s="22"/>
      <c r="AC260" s="22"/>
    </row>
    <row r="261" spans="4:29" s="20" customFormat="1" ht="12.75">
      <c r="D261" s="18"/>
      <c r="E261" s="17"/>
      <c r="F261" s="1"/>
      <c r="G261" s="104"/>
      <c r="H261" s="153" t="s">
        <v>573</v>
      </c>
      <c r="I261" s="27"/>
      <c r="J261" s="15"/>
      <c r="K261" s="67">
        <f>+K255+K248+K242+K238+K184+K133+K129+K124+K119+K115+K111+K106+K102+K97+K74+K51+K46+K30</f>
        <v>7742351138115.66</v>
      </c>
      <c r="L261" s="15"/>
      <c r="M261" s="67">
        <f>+M255+M248+M242+M238+M184+M133+M129+M124+M119+M115+M111+M106+M102+M97+M74+M51+M46+M30</f>
        <v>536035850696.9</v>
      </c>
      <c r="N261" s="15"/>
      <c r="O261" s="15"/>
      <c r="P261" s="15"/>
      <c r="Q261" s="15"/>
      <c r="R261" s="15"/>
      <c r="S261" s="67">
        <f>+S255+S248+S242+S238+S184+S133+S129+S124+S119+S115+S111+S106+S102+S97+S74+S51+S46+S30</f>
        <v>220908379788.47</v>
      </c>
      <c r="T261" s="15"/>
      <c r="U261" s="15"/>
      <c r="V261" s="15"/>
      <c r="W261" s="67">
        <f>+W255+W248+W242+W238+W184+W133+W129+W124+W119+W115+W111+W106+W102+W97+W74+W51+W46+W30</f>
        <v>8215944223000.78</v>
      </c>
      <c r="Y261" s="22"/>
      <c r="Z261" s="21"/>
      <c r="AA261" s="21"/>
      <c r="AB261" s="22"/>
      <c r="AC261" s="22"/>
    </row>
    <row r="262" spans="4:29" s="20" customFormat="1" ht="19.5" customHeight="1">
      <c r="D262" s="18"/>
      <c r="E262" s="17"/>
      <c r="F262" s="1"/>
      <c r="G262" s="104"/>
      <c r="H262" s="17"/>
      <c r="I262" s="18"/>
      <c r="K262" s="21"/>
      <c r="Y262" s="22"/>
      <c r="Z262" s="21"/>
      <c r="AA262" s="21"/>
      <c r="AB262" s="22"/>
      <c r="AC262" s="22"/>
    </row>
    <row r="263" spans="4:29" s="20" customFormat="1" ht="11.25" hidden="1">
      <c r="D263" s="18"/>
      <c r="E263" s="17"/>
      <c r="F263" s="1"/>
      <c r="G263" s="104"/>
      <c r="H263" s="17"/>
      <c r="I263" s="18"/>
      <c r="K263" s="21"/>
      <c r="M263" s="20" t="e">
        <f>+#REF!-M258</f>
        <v>#REF!</v>
      </c>
      <c r="O263" s="20" t="e">
        <f>+#REF!-O258</f>
        <v>#REF!</v>
      </c>
      <c r="S263" s="20" t="e">
        <f>+#REF!-S258</f>
        <v>#REF!</v>
      </c>
      <c r="U263" s="20" t="e">
        <f>+U259-#REF!</f>
        <v>#REF!</v>
      </c>
      <c r="W263" s="20" t="e">
        <f>+#REF!-W258</f>
        <v>#REF!</v>
      </c>
      <c r="Y263" s="22"/>
      <c r="Z263" s="21" t="e">
        <f>+#REF!-Z258</f>
        <v>#REF!</v>
      </c>
      <c r="AA263" s="21"/>
      <c r="AB263" s="22"/>
      <c r="AC263" s="22"/>
    </row>
    <row r="267" ht="11.25"/>
  </sheetData>
  <sheetProtection/>
  <mergeCells count="29">
    <mergeCell ref="L257:M257"/>
    <mergeCell ref="N257:O257"/>
    <mergeCell ref="P257:Q257"/>
    <mergeCell ref="N4:O4"/>
    <mergeCell ref="P4:Q4"/>
    <mergeCell ref="A13:A23"/>
    <mergeCell ref="D13:D23"/>
    <mergeCell ref="F13:F23"/>
    <mergeCell ref="A27:A255"/>
    <mergeCell ref="H102:I102"/>
    <mergeCell ref="R4:S4"/>
    <mergeCell ref="T4:W4"/>
    <mergeCell ref="B2:Y2"/>
    <mergeCell ref="X4:X5"/>
    <mergeCell ref="Z4:AA4"/>
    <mergeCell ref="G4:G5"/>
    <mergeCell ref="H4:H5"/>
    <mergeCell ref="I4:I5"/>
    <mergeCell ref="J4:K4"/>
    <mergeCell ref="L4:M4"/>
    <mergeCell ref="A6:A10"/>
    <mergeCell ref="D6:D10"/>
    <mergeCell ref="F6:F10"/>
    <mergeCell ref="A4:A5"/>
    <mergeCell ref="B4:B5"/>
    <mergeCell ref="C4:C5"/>
    <mergeCell ref="D4:D5"/>
    <mergeCell ref="E4:E5"/>
    <mergeCell ref="F4:F5"/>
  </mergeCells>
  <printOptions horizontalCentered="1"/>
  <pageMargins left="0.15748031496062992" right="0.15748031496062992" top="0.5905511811023623" bottom="0.5905511811023623" header="0.31496062992125984" footer="0.31496062992125984"/>
  <pageSetup firstPageNumber="37" useFirstPageNumber="1" horizontalDpi="180" verticalDpi="180" orientation="landscape" paperSize="8" scale="90" r:id="rId3"/>
  <headerFooter>
    <oddHeader>&amp;RPage 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DCP/DGT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ACCT</dc:creator>
  <cp:keywords/>
  <dc:description/>
  <cp:lastModifiedBy>Henri</cp:lastModifiedBy>
  <cp:lastPrinted>2017-12-04T07:27:50Z</cp:lastPrinted>
  <dcterms:created xsi:type="dcterms:W3CDTF">2016-04-25T06:30:48Z</dcterms:created>
  <dcterms:modified xsi:type="dcterms:W3CDTF">2017-12-13T09:41:28Z</dcterms:modified>
  <cp:category/>
  <cp:version/>
  <cp:contentType/>
  <cp:contentStatus/>
</cp:coreProperties>
</file>